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495"/>
  </bookViews>
  <sheets>
    <sheet name="MAYO DE 2016" sheetId="4" r:id="rId1"/>
  </sheets>
  <calcPr calcId="145621"/>
</workbook>
</file>

<file path=xl/calcChain.xml><?xml version="1.0" encoding="utf-8"?>
<calcChain xmlns="http://schemas.openxmlformats.org/spreadsheetml/2006/main">
  <c r="D63" i="4" l="1"/>
  <c r="M62" i="4"/>
  <c r="K62" i="4"/>
  <c r="H62" i="4"/>
  <c r="N62" i="4" s="1"/>
  <c r="O62" i="4" s="1"/>
  <c r="M61" i="4"/>
  <c r="K61" i="4"/>
  <c r="L61" i="4" s="1"/>
  <c r="I61" i="4"/>
  <c r="H61" i="4"/>
  <c r="I60" i="4"/>
  <c r="M60" i="4" s="1"/>
  <c r="H60" i="4"/>
  <c r="I59" i="4"/>
  <c r="M59" i="4" s="1"/>
  <c r="H59" i="4"/>
  <c r="I58" i="4"/>
  <c r="M58" i="4" s="1"/>
  <c r="H58" i="4"/>
  <c r="M57" i="4"/>
  <c r="K57" i="4"/>
  <c r="L57" i="4" s="1"/>
  <c r="I57" i="4"/>
  <c r="H57" i="4"/>
  <c r="M56" i="4"/>
  <c r="K56" i="4"/>
  <c r="H56" i="4"/>
  <c r="I55" i="4"/>
  <c r="M55" i="4" s="1"/>
  <c r="H55" i="4"/>
  <c r="M54" i="4"/>
  <c r="K54" i="4"/>
  <c r="H54" i="4"/>
  <c r="N54" i="4" s="1"/>
  <c r="O54" i="4" s="1"/>
  <c r="M53" i="4"/>
  <c r="K53" i="4"/>
  <c r="L53" i="4" s="1"/>
  <c r="I53" i="4"/>
  <c r="H53" i="4"/>
  <c r="J52" i="4"/>
  <c r="H52" i="4"/>
  <c r="F52" i="4"/>
  <c r="E52" i="4"/>
  <c r="C52" i="4"/>
  <c r="O51" i="4"/>
  <c r="M51" i="4"/>
  <c r="K51" i="4"/>
  <c r="H51" i="4"/>
  <c r="N51" i="4" s="1"/>
  <c r="I50" i="4"/>
  <c r="M50" i="4" s="1"/>
  <c r="H50" i="4"/>
  <c r="I49" i="4"/>
  <c r="M49" i="4" s="1"/>
  <c r="H49" i="4"/>
  <c r="I48" i="4"/>
  <c r="M48" i="4" s="1"/>
  <c r="H48" i="4"/>
  <c r="J47" i="4"/>
  <c r="G47" i="4"/>
  <c r="F47" i="4"/>
  <c r="E47" i="4"/>
  <c r="C47" i="4"/>
  <c r="M46" i="4"/>
  <c r="K46" i="4"/>
  <c r="H46" i="4"/>
  <c r="N46" i="4" s="1"/>
  <c r="O46" i="4" s="1"/>
  <c r="M45" i="4"/>
  <c r="K45" i="4"/>
  <c r="H45" i="4"/>
  <c r="N45" i="4" s="1"/>
  <c r="O45" i="4" s="1"/>
  <c r="M44" i="4"/>
  <c r="K44" i="4"/>
  <c r="H44" i="4"/>
  <c r="N44" i="4" s="1"/>
  <c r="O44" i="4" s="1"/>
  <c r="M43" i="4"/>
  <c r="K43" i="4"/>
  <c r="L43" i="4" s="1"/>
  <c r="I43" i="4"/>
  <c r="H43" i="4"/>
  <c r="M42" i="4"/>
  <c r="K42" i="4"/>
  <c r="H42" i="4"/>
  <c r="I41" i="4"/>
  <c r="M41" i="4" s="1"/>
  <c r="H41" i="4"/>
  <c r="M40" i="4"/>
  <c r="I40" i="4"/>
  <c r="K40" i="4" s="1"/>
  <c r="L40" i="4" s="1"/>
  <c r="H40" i="4"/>
  <c r="M39" i="4"/>
  <c r="K39" i="4"/>
  <c r="H39" i="4"/>
  <c r="N39" i="4" s="1"/>
  <c r="O39" i="4" s="1"/>
  <c r="M38" i="4"/>
  <c r="K38" i="4"/>
  <c r="L38" i="4" s="1"/>
  <c r="I38" i="4"/>
  <c r="H38" i="4"/>
  <c r="I37" i="4"/>
  <c r="M37" i="4" s="1"/>
  <c r="H37" i="4"/>
  <c r="I36" i="4"/>
  <c r="M36" i="4" s="1"/>
  <c r="H36" i="4"/>
  <c r="I35" i="4"/>
  <c r="M35" i="4" s="1"/>
  <c r="H35" i="4"/>
  <c r="I34" i="4"/>
  <c r="K34" i="4" s="1"/>
  <c r="H34" i="4"/>
  <c r="I33" i="4"/>
  <c r="M33" i="4" s="1"/>
  <c r="H33" i="4"/>
  <c r="I32" i="4"/>
  <c r="M32" i="4" s="1"/>
  <c r="H32" i="4"/>
  <c r="I31" i="4"/>
  <c r="M31" i="4" s="1"/>
  <c r="F31" i="4"/>
  <c r="H31" i="4" s="1"/>
  <c r="J30" i="4"/>
  <c r="G30" i="4"/>
  <c r="E30" i="4"/>
  <c r="C30" i="4"/>
  <c r="M29" i="4"/>
  <c r="K29" i="4"/>
  <c r="H29" i="4"/>
  <c r="N29" i="4" s="1"/>
  <c r="O29" i="4" s="1"/>
  <c r="M28" i="4"/>
  <c r="K28" i="4"/>
  <c r="H28" i="4"/>
  <c r="I27" i="4"/>
  <c r="M27" i="4" s="1"/>
  <c r="H27" i="4"/>
  <c r="M26" i="4"/>
  <c r="I26" i="4"/>
  <c r="K26" i="4" s="1"/>
  <c r="L26" i="4" s="1"/>
  <c r="H26" i="4"/>
  <c r="M25" i="4"/>
  <c r="K25" i="4"/>
  <c r="H25" i="4"/>
  <c r="N25" i="4" s="1"/>
  <c r="J24" i="4"/>
  <c r="I24" i="4"/>
  <c r="G24" i="4"/>
  <c r="F24" i="4"/>
  <c r="E24" i="4"/>
  <c r="C24" i="4"/>
  <c r="M23" i="4"/>
  <c r="K23" i="4"/>
  <c r="H23" i="4"/>
  <c r="N23" i="4" s="1"/>
  <c r="O23" i="4" s="1"/>
  <c r="M22" i="4"/>
  <c r="K22" i="4"/>
  <c r="H22" i="4"/>
  <c r="N22" i="4" s="1"/>
  <c r="O22" i="4" s="1"/>
  <c r="I21" i="4"/>
  <c r="M21" i="4" s="1"/>
  <c r="H21" i="4"/>
  <c r="I20" i="4"/>
  <c r="M20" i="4" s="1"/>
  <c r="M19" i="4" s="1"/>
  <c r="H20" i="4"/>
  <c r="J19" i="4"/>
  <c r="H19" i="4"/>
  <c r="G19" i="4"/>
  <c r="F19" i="4"/>
  <c r="E19" i="4"/>
  <c r="C19" i="4"/>
  <c r="M18" i="4"/>
  <c r="H18" i="4"/>
  <c r="N18" i="4" s="1"/>
  <c r="O18" i="4" s="1"/>
  <c r="I17" i="4"/>
  <c r="M17" i="4" s="1"/>
  <c r="H17" i="4"/>
  <c r="I16" i="4"/>
  <c r="M16" i="4" s="1"/>
  <c r="H16" i="4"/>
  <c r="M15" i="4"/>
  <c r="K15" i="4"/>
  <c r="L15" i="4" s="1"/>
  <c r="I15" i="4"/>
  <c r="H15" i="4"/>
  <c r="I14" i="4"/>
  <c r="M14" i="4" s="1"/>
  <c r="H14" i="4"/>
  <c r="I13" i="4"/>
  <c r="M13" i="4" s="1"/>
  <c r="H13" i="4"/>
  <c r="I12" i="4"/>
  <c r="M12" i="4" s="1"/>
  <c r="H12" i="4"/>
  <c r="M11" i="4"/>
  <c r="K11" i="4"/>
  <c r="L11" i="4" s="1"/>
  <c r="I11" i="4"/>
  <c r="H11" i="4"/>
  <c r="M10" i="4"/>
  <c r="K10" i="4"/>
  <c r="H10" i="4"/>
  <c r="I9" i="4"/>
  <c r="M9" i="4" s="1"/>
  <c r="H9" i="4"/>
  <c r="J8" i="4"/>
  <c r="G8" i="4"/>
  <c r="F8" i="4"/>
  <c r="E8" i="4"/>
  <c r="E63" i="4" s="1"/>
  <c r="D8" i="4"/>
  <c r="C8" i="4"/>
  <c r="L18" i="4" l="1"/>
  <c r="I19" i="4"/>
  <c r="K20" i="4"/>
  <c r="L20" i="4" s="1"/>
  <c r="N40" i="4"/>
  <c r="O40" i="4" s="1"/>
  <c r="L46" i="4"/>
  <c r="K49" i="4"/>
  <c r="L49" i="4" s="1"/>
  <c r="C63" i="4"/>
  <c r="N11" i="4"/>
  <c r="O11" i="4" s="1"/>
  <c r="K13" i="4"/>
  <c r="L13" i="4" s="1"/>
  <c r="K32" i="4"/>
  <c r="L32" i="4" s="1"/>
  <c r="K33" i="4"/>
  <c r="L33" i="4" s="1"/>
  <c r="K36" i="4"/>
  <c r="L36" i="4" s="1"/>
  <c r="N38" i="4"/>
  <c r="N43" i="4"/>
  <c r="O43" i="4" s="1"/>
  <c r="L45" i="4"/>
  <c r="G63" i="4"/>
  <c r="L51" i="4"/>
  <c r="N53" i="4"/>
  <c r="N57" i="4"/>
  <c r="O57" i="4" s="1"/>
  <c r="K59" i="4"/>
  <c r="L59" i="4" s="1"/>
  <c r="N61" i="4"/>
  <c r="O61" i="4" s="1"/>
  <c r="N32" i="4"/>
  <c r="N36" i="4"/>
  <c r="O36" i="4" s="1"/>
  <c r="M24" i="4"/>
  <c r="N26" i="4"/>
  <c r="O26" i="4" s="1"/>
  <c r="M8" i="4"/>
  <c r="N15" i="4"/>
  <c r="O15" i="4" s="1"/>
  <c r="K17" i="4"/>
  <c r="L17" i="4" s="1"/>
  <c r="I8" i="4"/>
  <c r="H8" i="4"/>
  <c r="H24" i="4"/>
  <c r="N28" i="4"/>
  <c r="O28" i="4" s="1"/>
  <c r="F30" i="4"/>
  <c r="F63" i="4" s="1"/>
  <c r="G66" i="4" s="1"/>
  <c r="N42" i="4"/>
  <c r="O42" i="4" s="1"/>
  <c r="L44" i="4"/>
  <c r="I47" i="4"/>
  <c r="M47" i="4" s="1"/>
  <c r="N49" i="4"/>
  <c r="O49" i="4" s="1"/>
  <c r="L54" i="4"/>
  <c r="N56" i="4"/>
  <c r="O56" i="4" s="1"/>
  <c r="L62" i="4"/>
  <c r="O25" i="4"/>
  <c r="H30" i="4"/>
  <c r="H63" i="4" s="1"/>
  <c r="O53" i="4"/>
  <c r="N34" i="4"/>
  <c r="O34" i="4" s="1"/>
  <c r="L10" i="4"/>
  <c r="N10" i="4"/>
  <c r="O10" i="4" s="1"/>
  <c r="L22" i="4"/>
  <c r="L23" i="4"/>
  <c r="L25" i="4"/>
  <c r="L28" i="4"/>
  <c r="L29" i="4"/>
  <c r="M34" i="4"/>
  <c r="M30" i="4" s="1"/>
  <c r="L39" i="4"/>
  <c r="L42" i="4"/>
  <c r="L56" i="4"/>
  <c r="J63" i="4"/>
  <c r="K9" i="4"/>
  <c r="K12" i="4"/>
  <c r="K14" i="4"/>
  <c r="K16" i="4"/>
  <c r="K21" i="4"/>
  <c r="K27" i="4"/>
  <c r="I30" i="4"/>
  <c r="K31" i="4"/>
  <c r="K35" i="4"/>
  <c r="K37" i="4"/>
  <c r="K41" i="4"/>
  <c r="H47" i="4"/>
  <c r="K48" i="4"/>
  <c r="K50" i="4"/>
  <c r="I52" i="4"/>
  <c r="M52" i="4" s="1"/>
  <c r="M63" i="4" s="1"/>
  <c r="K55" i="4"/>
  <c r="K58" i="4"/>
  <c r="K60" i="4"/>
  <c r="N20" i="4" l="1"/>
  <c r="O20" i="4" s="1"/>
  <c r="N59" i="4"/>
  <c r="O59" i="4" s="1"/>
  <c r="N33" i="4"/>
  <c r="O33" i="4" s="1"/>
  <c r="N13" i="4"/>
  <c r="O13" i="4" s="1"/>
  <c r="N17" i="4"/>
  <c r="O17" i="4" s="1"/>
  <c r="N60" i="4"/>
  <c r="O60" i="4" s="1"/>
  <c r="L60" i="4"/>
  <c r="N55" i="4"/>
  <c r="L55" i="4"/>
  <c r="N50" i="4"/>
  <c r="L50" i="4"/>
  <c r="N37" i="4"/>
  <c r="O37" i="4" s="1"/>
  <c r="L37" i="4"/>
  <c r="K30" i="4"/>
  <c r="L30" i="4" s="1"/>
  <c r="L31" i="4"/>
  <c r="N27" i="4"/>
  <c r="L27" i="4"/>
  <c r="N21" i="4"/>
  <c r="L21" i="4"/>
  <c r="N16" i="4"/>
  <c r="O16" i="4" s="1"/>
  <c r="L16" i="4"/>
  <c r="N12" i="4"/>
  <c r="O12" i="4" s="1"/>
  <c r="L12" i="4"/>
  <c r="N58" i="4"/>
  <c r="O58" i="4" s="1"/>
  <c r="L58" i="4"/>
  <c r="I63" i="4"/>
  <c r="K52" i="4"/>
  <c r="N48" i="4"/>
  <c r="L48" i="4"/>
  <c r="K47" i="4"/>
  <c r="L47" i="4" s="1"/>
  <c r="N41" i="4"/>
  <c r="O41" i="4" s="1"/>
  <c r="L41" i="4"/>
  <c r="N35" i="4"/>
  <c r="O35" i="4" s="1"/>
  <c r="L35" i="4"/>
  <c r="N14" i="4"/>
  <c r="O14" i="4" s="1"/>
  <c r="L14" i="4"/>
  <c r="N9" i="4"/>
  <c r="L9" i="4"/>
  <c r="K8" i="4"/>
  <c r="L8" i="4" s="1"/>
  <c r="K24" i="4"/>
  <c r="L24" i="4" s="1"/>
  <c r="K19" i="4"/>
  <c r="L19" i="4" s="1"/>
  <c r="N31" i="4"/>
  <c r="O31" i="4" l="1"/>
  <c r="N30" i="4"/>
  <c r="O30" i="4" s="1"/>
  <c r="O48" i="4"/>
  <c r="N47" i="4"/>
  <c r="O47" i="4" s="1"/>
  <c r="O21" i="4"/>
  <c r="N19" i="4"/>
  <c r="O19" i="4" s="1"/>
  <c r="O27" i="4"/>
  <c r="N24" i="4"/>
  <c r="O24" i="4" s="1"/>
  <c r="O55" i="4"/>
  <c r="N52" i="4"/>
  <c r="O9" i="4"/>
  <c r="N8" i="4"/>
  <c r="O8" i="4" s="1"/>
  <c r="K63" i="4"/>
  <c r="L63" i="4" s="1"/>
  <c r="L52" i="4"/>
  <c r="O52" i="4" l="1"/>
  <c r="N63" i="4"/>
  <c r="O63" i="4" s="1"/>
</calcChain>
</file>

<file path=xl/sharedStrings.xml><?xml version="1.0" encoding="utf-8"?>
<sst xmlns="http://schemas.openxmlformats.org/spreadsheetml/2006/main" count="130" uniqueCount="119">
  <si>
    <t>CONTRALORIA DEPARTAMENTAL DEL GUAVIARE</t>
  </si>
  <si>
    <t>EJECUCION PRESUPUESTAL  DE  GASTOS</t>
  </si>
  <si>
    <t>MAYO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</si>
  <si>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</si>
  <si>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</si>
  <si>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</si>
  <si>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</si>
  <si>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</si>
  <si>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</si>
  <si>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</si>
  <si>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</si>
  <si>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</si>
  <si>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</si>
  <si>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</si>
  <si>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</si>
  <si>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</si>
  <si>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</si>
  <si>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</si>
  <si>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</si>
  <si>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</si>
  <si>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</si>
  <si>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</si>
  <si>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</si>
  <si>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</si>
  <si>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</si>
  <si>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</si>
  <si>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</si>
  <si>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</si>
  <si>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</si>
  <si>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</si>
  <si>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</si>
  <si>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</si>
  <si>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</si>
  <si>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</si>
  <si>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</si>
  <si>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</si>
  <si>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</si>
  <si>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</si>
  <si>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</si>
  <si>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</si>
  <si>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</si>
  <si>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</si>
  <si>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</si>
  <si>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</si>
  <si>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</si>
  <si>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</si>
  <si>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</si>
  <si>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</si>
  <si>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</si>
  <si>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</si>
  <si>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</si>
  <si>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</si>
  <si>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</si>
  <si>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</si>
  <si>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</si>
  <si>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</si>
  <si>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</si>
  <si>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</si>
  <si>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</si>
  <si>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</si>
  <si>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</si>
  <si>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</si>
  <si>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</si>
  <si>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VIATICOS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</si>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</sst>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Bookman Old Style"/>
      <family val="1"/>
    </font>
    <font>
      <sz val="14"/>
      <name val="Arial"/>
      <family val="2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65" fontId="3" fillId="2" borderId="0" xfId="2" applyNumberFormat="1" applyFont="1" applyFill="1"/>
    <xf numFmtId="0" fontId="1" fillId="2" borderId="0" xfId="1" applyFill="1" applyBorder="1"/>
    <xf numFmtId="0" fontId="1" fillId="0" borderId="0" xfId="1"/>
    <xf numFmtId="0" fontId="4" fillId="2" borderId="0" xfId="1" applyFont="1" applyFill="1"/>
    <xf numFmtId="0" fontId="4" fillId="0" borderId="0" xfId="1" applyFont="1" applyFill="1"/>
    <xf numFmtId="0" fontId="5" fillId="2" borderId="0" xfId="1" applyFont="1" applyFill="1"/>
    <xf numFmtId="165" fontId="5" fillId="2" borderId="0" xfId="2" applyNumberFormat="1" applyFont="1" applyFill="1"/>
    <xf numFmtId="0" fontId="5" fillId="0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3" borderId="6" xfId="1" applyFont="1" applyFill="1" applyBorder="1"/>
    <xf numFmtId="0" fontId="7" fillId="4" borderId="6" xfId="1" applyFont="1" applyFill="1" applyBorder="1"/>
    <xf numFmtId="0" fontId="7" fillId="2" borderId="6" xfId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0" fontId="1" fillId="2" borderId="8" xfId="1" applyFill="1" applyBorder="1"/>
    <xf numFmtId="0" fontId="8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Fill="1" applyBorder="1"/>
    <xf numFmtId="4" fontId="7" fillId="0" borderId="12" xfId="1" applyNumberFormat="1" applyFont="1" applyBorder="1"/>
    <xf numFmtId="165" fontId="7" fillId="0" borderId="13" xfId="2" applyNumberFormat="1" applyFont="1" applyBorder="1"/>
    <xf numFmtId="0" fontId="7" fillId="0" borderId="13" xfId="1" applyFont="1" applyBorder="1"/>
    <xf numFmtId="0" fontId="1" fillId="0" borderId="5" xfId="1" applyBorder="1"/>
    <xf numFmtId="0" fontId="7" fillId="0" borderId="5" xfId="1" applyFont="1" applyBorder="1" applyAlignment="1"/>
    <xf numFmtId="0" fontId="7" fillId="0" borderId="14" xfId="1" applyFont="1" applyBorder="1"/>
    <xf numFmtId="3" fontId="8" fillId="0" borderId="15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9" fontId="7" fillId="0" borderId="15" xfId="1" applyNumberFormat="1" applyFont="1" applyBorder="1" applyAlignment="1">
      <alignment horizontal="right"/>
    </xf>
    <xf numFmtId="165" fontId="7" fillId="0" borderId="15" xfId="2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9" fontId="7" fillId="0" borderId="10" xfId="1" applyNumberFormat="1" applyFont="1" applyBorder="1" applyAlignment="1">
      <alignment horizontal="center"/>
    </xf>
    <xf numFmtId="0" fontId="5" fillId="0" borderId="10" xfId="1" applyFont="1" applyBorder="1" applyAlignment="1"/>
    <xf numFmtId="0" fontId="10" fillId="0" borderId="14" xfId="1" applyFont="1" applyBorder="1"/>
    <xf numFmtId="3" fontId="10" fillId="0" borderId="16" xfId="2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/>
    </xf>
    <xf numFmtId="3" fontId="11" fillId="3" borderId="15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165" fontId="5" fillId="0" borderId="15" xfId="2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 vertical="center"/>
    </xf>
    <xf numFmtId="165" fontId="13" fillId="2" borderId="15" xfId="2" applyNumberFormat="1" applyFont="1" applyFill="1" applyBorder="1"/>
    <xf numFmtId="0" fontId="5" fillId="0" borderId="10" xfId="1" applyFont="1" applyBorder="1" applyAlignment="1">
      <alignment horizontal="left"/>
    </xf>
    <xf numFmtId="165" fontId="13" fillId="2" borderId="18" xfId="2" applyNumberFormat="1" applyFont="1" applyFill="1" applyBorder="1"/>
    <xf numFmtId="165" fontId="1" fillId="0" borderId="0" xfId="1" applyNumberFormat="1"/>
    <xf numFmtId="0" fontId="5" fillId="0" borderId="5" xfId="1" applyFont="1" applyBorder="1" applyAlignment="1">
      <alignment horizontal="left"/>
    </xf>
    <xf numFmtId="3" fontId="10" fillId="0" borderId="17" xfId="2" applyNumberFormat="1" applyFont="1" applyFill="1" applyBorder="1" applyAlignment="1">
      <alignment horizontal="right" vertical="center"/>
    </xf>
    <xf numFmtId="0" fontId="8" fillId="0" borderId="14" xfId="1" applyFont="1" applyBorder="1"/>
    <xf numFmtId="164" fontId="8" fillId="0" borderId="15" xfId="1" applyNumberFormat="1" applyFont="1" applyBorder="1"/>
    <xf numFmtId="3" fontId="14" fillId="3" borderId="15" xfId="1" applyNumberFormat="1" applyFont="1" applyFill="1" applyBorder="1" applyAlignment="1">
      <alignment horizontal="right"/>
    </xf>
    <xf numFmtId="3" fontId="15" fillId="4" borderId="15" xfId="1" applyNumberFormat="1" applyFont="1" applyFill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0" fontId="10" fillId="2" borderId="14" xfId="1" applyFont="1" applyFill="1" applyBorder="1"/>
    <xf numFmtId="0" fontId="10" fillId="0" borderId="14" xfId="1" applyFont="1" applyBorder="1" applyAlignment="1">
      <alignment horizontal="left"/>
    </xf>
    <xf numFmtId="165" fontId="17" fillId="0" borderId="15" xfId="2" applyNumberFormat="1" applyFont="1" applyFill="1" applyBorder="1"/>
    <xf numFmtId="0" fontId="8" fillId="0" borderId="14" xfId="1" applyFont="1" applyBorder="1" applyAlignment="1">
      <alignment horizontal="left"/>
    </xf>
    <xf numFmtId="164" fontId="8" fillId="0" borderId="15" xfId="1" applyNumberFormat="1" applyFont="1" applyBorder="1" applyAlignment="1">
      <alignment horizontal="right"/>
    </xf>
    <xf numFmtId="0" fontId="10" fillId="2" borderId="14" xfId="1" applyFont="1" applyFill="1" applyBorder="1" applyAlignment="1">
      <alignment horizontal="left"/>
    </xf>
    <xf numFmtId="165" fontId="18" fillId="0" borderId="15" xfId="2" applyNumberFormat="1" applyFont="1" applyFill="1" applyBorder="1"/>
    <xf numFmtId="9" fontId="7" fillId="2" borderId="10" xfId="1" applyNumberFormat="1" applyFont="1" applyFill="1" applyBorder="1" applyAlignment="1">
      <alignment horizontal="center"/>
    </xf>
    <xf numFmtId="3" fontId="19" fillId="0" borderId="15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7" fillId="4" borderId="15" xfId="1" applyNumberFormat="1" applyFont="1" applyFill="1" applyBorder="1" applyAlignment="1">
      <alignment horizontal="right"/>
    </xf>
    <xf numFmtId="165" fontId="13" fillId="5" borderId="15" xfId="2" applyNumberFormat="1" applyFont="1" applyFill="1" applyBorder="1"/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5" fillId="0" borderId="15" xfId="1" applyFont="1" applyFill="1" applyBorder="1" applyAlignment="1">
      <alignment horizontal="right"/>
    </xf>
    <xf numFmtId="37" fontId="5" fillId="0" borderId="15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39" fontId="7" fillId="0" borderId="15" xfId="1" applyNumberFormat="1" applyFont="1" applyBorder="1" applyAlignment="1">
      <alignment horizontal="right"/>
    </xf>
    <xf numFmtId="9" fontId="5" fillId="0" borderId="15" xfId="1" applyNumberFormat="1" applyFont="1" applyBorder="1" applyAlignment="1">
      <alignment horizontal="right"/>
    </xf>
    <xf numFmtId="165" fontId="5" fillId="0" borderId="17" xfId="2" applyNumberFormat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1" fillId="0" borderId="8" xfId="1" applyBorder="1"/>
    <xf numFmtId="3" fontId="1" fillId="0" borderId="0" xfId="1" applyNumberFormat="1"/>
    <xf numFmtId="165" fontId="0" fillId="0" borderId="0" xfId="2" applyNumberFormat="1" applyFont="1"/>
    <xf numFmtId="3" fontId="21" fillId="0" borderId="0" xfId="1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19050</xdr:colOff>
      <xdr:row>3</xdr:row>
      <xdr:rowOff>228600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0150" y="0"/>
          <a:ext cx="1171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7" sqref="A17"/>
    </sheetView>
  </sheetViews>
  <sheetFormatPr baseColWidth="10" defaultRowHeight="15" x14ac:dyDescent="0.25"/>
  <cols>
    <col min="1" max="1" width="18.28515625" style="6" customWidth="1"/>
    <col min="2" max="2" width="56.7109375" style="6" customWidth="1"/>
    <col min="3" max="3" width="17.42578125" style="6" customWidth="1"/>
    <col min="4" max="11" width="16.7109375" style="6" customWidth="1"/>
    <col min="12" max="12" width="9" style="6" customWidth="1"/>
    <col min="13" max="13" width="19.85546875" style="100" customWidth="1"/>
    <col min="14" max="14" width="16.7109375" style="6" customWidth="1"/>
    <col min="15" max="15" width="9.7109375" style="6" customWidth="1"/>
    <col min="16" max="16" width="11.42578125" style="6"/>
    <col min="17" max="17" width="11.5703125" style="6" bestFit="1" customWidth="1"/>
    <col min="18" max="256" width="11.42578125" style="6"/>
    <col min="257" max="257" width="18.28515625" style="6" customWidth="1"/>
    <col min="258" max="258" width="56.7109375" style="6" customWidth="1"/>
    <col min="259" max="259" width="17.42578125" style="6" customWidth="1"/>
    <col min="260" max="267" width="16.7109375" style="6" customWidth="1"/>
    <col min="268" max="268" width="9" style="6" customWidth="1"/>
    <col min="269" max="269" width="19.85546875" style="6" customWidth="1"/>
    <col min="270" max="270" width="16.7109375" style="6" customWidth="1"/>
    <col min="271" max="271" width="9.7109375" style="6" customWidth="1"/>
    <col min="272" max="272" width="11.42578125" style="6"/>
    <col min="273" max="273" width="11.5703125" style="6" bestFit="1" customWidth="1"/>
    <col min="274" max="512" width="11.42578125" style="6"/>
    <col min="513" max="513" width="18.28515625" style="6" customWidth="1"/>
    <col min="514" max="514" width="56.7109375" style="6" customWidth="1"/>
    <col min="515" max="515" width="17.42578125" style="6" customWidth="1"/>
    <col min="516" max="523" width="16.7109375" style="6" customWidth="1"/>
    <col min="524" max="524" width="9" style="6" customWidth="1"/>
    <col min="525" max="525" width="19.85546875" style="6" customWidth="1"/>
    <col min="526" max="526" width="16.7109375" style="6" customWidth="1"/>
    <col min="527" max="527" width="9.7109375" style="6" customWidth="1"/>
    <col min="528" max="528" width="11.42578125" style="6"/>
    <col min="529" max="529" width="11.5703125" style="6" bestFit="1" customWidth="1"/>
    <col min="530" max="768" width="11.42578125" style="6"/>
    <col min="769" max="769" width="18.28515625" style="6" customWidth="1"/>
    <col min="770" max="770" width="56.7109375" style="6" customWidth="1"/>
    <col min="771" max="771" width="17.42578125" style="6" customWidth="1"/>
    <col min="772" max="779" width="16.7109375" style="6" customWidth="1"/>
    <col min="780" max="780" width="9" style="6" customWidth="1"/>
    <col min="781" max="781" width="19.85546875" style="6" customWidth="1"/>
    <col min="782" max="782" width="16.7109375" style="6" customWidth="1"/>
    <col min="783" max="783" width="9.7109375" style="6" customWidth="1"/>
    <col min="784" max="784" width="11.42578125" style="6"/>
    <col min="785" max="785" width="11.5703125" style="6" bestFit="1" customWidth="1"/>
    <col min="786" max="1024" width="11.42578125" style="6"/>
    <col min="1025" max="1025" width="18.28515625" style="6" customWidth="1"/>
    <col min="1026" max="1026" width="56.7109375" style="6" customWidth="1"/>
    <col min="1027" max="1027" width="17.42578125" style="6" customWidth="1"/>
    <col min="1028" max="1035" width="16.7109375" style="6" customWidth="1"/>
    <col min="1036" max="1036" width="9" style="6" customWidth="1"/>
    <col min="1037" max="1037" width="19.85546875" style="6" customWidth="1"/>
    <col min="1038" max="1038" width="16.7109375" style="6" customWidth="1"/>
    <col min="1039" max="1039" width="9.7109375" style="6" customWidth="1"/>
    <col min="1040" max="1040" width="11.42578125" style="6"/>
    <col min="1041" max="1041" width="11.5703125" style="6" bestFit="1" customWidth="1"/>
    <col min="1042" max="1280" width="11.42578125" style="6"/>
    <col min="1281" max="1281" width="18.28515625" style="6" customWidth="1"/>
    <col min="1282" max="1282" width="56.7109375" style="6" customWidth="1"/>
    <col min="1283" max="1283" width="17.42578125" style="6" customWidth="1"/>
    <col min="1284" max="1291" width="16.7109375" style="6" customWidth="1"/>
    <col min="1292" max="1292" width="9" style="6" customWidth="1"/>
    <col min="1293" max="1293" width="19.85546875" style="6" customWidth="1"/>
    <col min="1294" max="1294" width="16.7109375" style="6" customWidth="1"/>
    <col min="1295" max="1295" width="9.7109375" style="6" customWidth="1"/>
    <col min="1296" max="1296" width="11.42578125" style="6"/>
    <col min="1297" max="1297" width="11.5703125" style="6" bestFit="1" customWidth="1"/>
    <col min="1298" max="1536" width="11.42578125" style="6"/>
    <col min="1537" max="1537" width="18.28515625" style="6" customWidth="1"/>
    <col min="1538" max="1538" width="56.7109375" style="6" customWidth="1"/>
    <col min="1539" max="1539" width="17.42578125" style="6" customWidth="1"/>
    <col min="1540" max="1547" width="16.7109375" style="6" customWidth="1"/>
    <col min="1548" max="1548" width="9" style="6" customWidth="1"/>
    <col min="1549" max="1549" width="19.85546875" style="6" customWidth="1"/>
    <col min="1550" max="1550" width="16.7109375" style="6" customWidth="1"/>
    <col min="1551" max="1551" width="9.7109375" style="6" customWidth="1"/>
    <col min="1552" max="1552" width="11.42578125" style="6"/>
    <col min="1553" max="1553" width="11.5703125" style="6" bestFit="1" customWidth="1"/>
    <col min="1554" max="1792" width="11.42578125" style="6"/>
    <col min="1793" max="1793" width="18.28515625" style="6" customWidth="1"/>
    <col min="1794" max="1794" width="56.7109375" style="6" customWidth="1"/>
    <col min="1795" max="1795" width="17.42578125" style="6" customWidth="1"/>
    <col min="1796" max="1803" width="16.7109375" style="6" customWidth="1"/>
    <col min="1804" max="1804" width="9" style="6" customWidth="1"/>
    <col min="1805" max="1805" width="19.85546875" style="6" customWidth="1"/>
    <col min="1806" max="1806" width="16.7109375" style="6" customWidth="1"/>
    <col min="1807" max="1807" width="9.7109375" style="6" customWidth="1"/>
    <col min="1808" max="1808" width="11.42578125" style="6"/>
    <col min="1809" max="1809" width="11.5703125" style="6" bestFit="1" customWidth="1"/>
    <col min="1810" max="2048" width="11.42578125" style="6"/>
    <col min="2049" max="2049" width="18.28515625" style="6" customWidth="1"/>
    <col min="2050" max="2050" width="56.7109375" style="6" customWidth="1"/>
    <col min="2051" max="2051" width="17.42578125" style="6" customWidth="1"/>
    <col min="2052" max="2059" width="16.7109375" style="6" customWidth="1"/>
    <col min="2060" max="2060" width="9" style="6" customWidth="1"/>
    <col min="2061" max="2061" width="19.85546875" style="6" customWidth="1"/>
    <col min="2062" max="2062" width="16.7109375" style="6" customWidth="1"/>
    <col min="2063" max="2063" width="9.7109375" style="6" customWidth="1"/>
    <col min="2064" max="2064" width="11.42578125" style="6"/>
    <col min="2065" max="2065" width="11.5703125" style="6" bestFit="1" customWidth="1"/>
    <col min="2066" max="2304" width="11.42578125" style="6"/>
    <col min="2305" max="2305" width="18.28515625" style="6" customWidth="1"/>
    <col min="2306" max="2306" width="56.7109375" style="6" customWidth="1"/>
    <col min="2307" max="2307" width="17.42578125" style="6" customWidth="1"/>
    <col min="2308" max="2315" width="16.7109375" style="6" customWidth="1"/>
    <col min="2316" max="2316" width="9" style="6" customWidth="1"/>
    <col min="2317" max="2317" width="19.85546875" style="6" customWidth="1"/>
    <col min="2318" max="2318" width="16.7109375" style="6" customWidth="1"/>
    <col min="2319" max="2319" width="9.7109375" style="6" customWidth="1"/>
    <col min="2320" max="2320" width="11.42578125" style="6"/>
    <col min="2321" max="2321" width="11.5703125" style="6" bestFit="1" customWidth="1"/>
    <col min="2322" max="2560" width="11.42578125" style="6"/>
    <col min="2561" max="2561" width="18.28515625" style="6" customWidth="1"/>
    <col min="2562" max="2562" width="56.7109375" style="6" customWidth="1"/>
    <col min="2563" max="2563" width="17.42578125" style="6" customWidth="1"/>
    <col min="2564" max="2571" width="16.7109375" style="6" customWidth="1"/>
    <col min="2572" max="2572" width="9" style="6" customWidth="1"/>
    <col min="2573" max="2573" width="19.85546875" style="6" customWidth="1"/>
    <col min="2574" max="2574" width="16.7109375" style="6" customWidth="1"/>
    <col min="2575" max="2575" width="9.7109375" style="6" customWidth="1"/>
    <col min="2576" max="2576" width="11.42578125" style="6"/>
    <col min="2577" max="2577" width="11.5703125" style="6" bestFit="1" customWidth="1"/>
    <col min="2578" max="2816" width="11.42578125" style="6"/>
    <col min="2817" max="2817" width="18.28515625" style="6" customWidth="1"/>
    <col min="2818" max="2818" width="56.7109375" style="6" customWidth="1"/>
    <col min="2819" max="2819" width="17.42578125" style="6" customWidth="1"/>
    <col min="2820" max="2827" width="16.7109375" style="6" customWidth="1"/>
    <col min="2828" max="2828" width="9" style="6" customWidth="1"/>
    <col min="2829" max="2829" width="19.85546875" style="6" customWidth="1"/>
    <col min="2830" max="2830" width="16.7109375" style="6" customWidth="1"/>
    <col min="2831" max="2831" width="9.7109375" style="6" customWidth="1"/>
    <col min="2832" max="2832" width="11.42578125" style="6"/>
    <col min="2833" max="2833" width="11.5703125" style="6" bestFit="1" customWidth="1"/>
    <col min="2834" max="3072" width="11.42578125" style="6"/>
    <col min="3073" max="3073" width="18.28515625" style="6" customWidth="1"/>
    <col min="3074" max="3074" width="56.7109375" style="6" customWidth="1"/>
    <col min="3075" max="3075" width="17.42578125" style="6" customWidth="1"/>
    <col min="3076" max="3083" width="16.7109375" style="6" customWidth="1"/>
    <col min="3084" max="3084" width="9" style="6" customWidth="1"/>
    <col min="3085" max="3085" width="19.85546875" style="6" customWidth="1"/>
    <col min="3086" max="3086" width="16.7109375" style="6" customWidth="1"/>
    <col min="3087" max="3087" width="9.7109375" style="6" customWidth="1"/>
    <col min="3088" max="3088" width="11.42578125" style="6"/>
    <col min="3089" max="3089" width="11.5703125" style="6" bestFit="1" customWidth="1"/>
    <col min="3090" max="3328" width="11.42578125" style="6"/>
    <col min="3329" max="3329" width="18.28515625" style="6" customWidth="1"/>
    <col min="3330" max="3330" width="56.7109375" style="6" customWidth="1"/>
    <col min="3331" max="3331" width="17.42578125" style="6" customWidth="1"/>
    <col min="3332" max="3339" width="16.7109375" style="6" customWidth="1"/>
    <col min="3340" max="3340" width="9" style="6" customWidth="1"/>
    <col min="3341" max="3341" width="19.85546875" style="6" customWidth="1"/>
    <col min="3342" max="3342" width="16.7109375" style="6" customWidth="1"/>
    <col min="3343" max="3343" width="9.7109375" style="6" customWidth="1"/>
    <col min="3344" max="3344" width="11.42578125" style="6"/>
    <col min="3345" max="3345" width="11.5703125" style="6" bestFit="1" customWidth="1"/>
    <col min="3346" max="3584" width="11.42578125" style="6"/>
    <col min="3585" max="3585" width="18.28515625" style="6" customWidth="1"/>
    <col min="3586" max="3586" width="56.7109375" style="6" customWidth="1"/>
    <col min="3587" max="3587" width="17.42578125" style="6" customWidth="1"/>
    <col min="3588" max="3595" width="16.7109375" style="6" customWidth="1"/>
    <col min="3596" max="3596" width="9" style="6" customWidth="1"/>
    <col min="3597" max="3597" width="19.85546875" style="6" customWidth="1"/>
    <col min="3598" max="3598" width="16.7109375" style="6" customWidth="1"/>
    <col min="3599" max="3599" width="9.7109375" style="6" customWidth="1"/>
    <col min="3600" max="3600" width="11.42578125" style="6"/>
    <col min="3601" max="3601" width="11.5703125" style="6" bestFit="1" customWidth="1"/>
    <col min="3602" max="3840" width="11.42578125" style="6"/>
    <col min="3841" max="3841" width="18.28515625" style="6" customWidth="1"/>
    <col min="3842" max="3842" width="56.7109375" style="6" customWidth="1"/>
    <col min="3843" max="3843" width="17.42578125" style="6" customWidth="1"/>
    <col min="3844" max="3851" width="16.7109375" style="6" customWidth="1"/>
    <col min="3852" max="3852" width="9" style="6" customWidth="1"/>
    <col min="3853" max="3853" width="19.85546875" style="6" customWidth="1"/>
    <col min="3854" max="3854" width="16.7109375" style="6" customWidth="1"/>
    <col min="3855" max="3855" width="9.7109375" style="6" customWidth="1"/>
    <col min="3856" max="3856" width="11.42578125" style="6"/>
    <col min="3857" max="3857" width="11.5703125" style="6" bestFit="1" customWidth="1"/>
    <col min="3858" max="4096" width="11.42578125" style="6"/>
    <col min="4097" max="4097" width="18.28515625" style="6" customWidth="1"/>
    <col min="4098" max="4098" width="56.7109375" style="6" customWidth="1"/>
    <col min="4099" max="4099" width="17.42578125" style="6" customWidth="1"/>
    <col min="4100" max="4107" width="16.7109375" style="6" customWidth="1"/>
    <col min="4108" max="4108" width="9" style="6" customWidth="1"/>
    <col min="4109" max="4109" width="19.85546875" style="6" customWidth="1"/>
    <col min="4110" max="4110" width="16.7109375" style="6" customWidth="1"/>
    <col min="4111" max="4111" width="9.7109375" style="6" customWidth="1"/>
    <col min="4112" max="4112" width="11.42578125" style="6"/>
    <col min="4113" max="4113" width="11.5703125" style="6" bestFit="1" customWidth="1"/>
    <col min="4114" max="4352" width="11.42578125" style="6"/>
    <col min="4353" max="4353" width="18.28515625" style="6" customWidth="1"/>
    <col min="4354" max="4354" width="56.7109375" style="6" customWidth="1"/>
    <col min="4355" max="4355" width="17.42578125" style="6" customWidth="1"/>
    <col min="4356" max="4363" width="16.7109375" style="6" customWidth="1"/>
    <col min="4364" max="4364" width="9" style="6" customWidth="1"/>
    <col min="4365" max="4365" width="19.85546875" style="6" customWidth="1"/>
    <col min="4366" max="4366" width="16.7109375" style="6" customWidth="1"/>
    <col min="4367" max="4367" width="9.7109375" style="6" customWidth="1"/>
    <col min="4368" max="4368" width="11.42578125" style="6"/>
    <col min="4369" max="4369" width="11.5703125" style="6" bestFit="1" customWidth="1"/>
    <col min="4370" max="4608" width="11.42578125" style="6"/>
    <col min="4609" max="4609" width="18.28515625" style="6" customWidth="1"/>
    <col min="4610" max="4610" width="56.7109375" style="6" customWidth="1"/>
    <col min="4611" max="4611" width="17.42578125" style="6" customWidth="1"/>
    <col min="4612" max="4619" width="16.7109375" style="6" customWidth="1"/>
    <col min="4620" max="4620" width="9" style="6" customWidth="1"/>
    <col min="4621" max="4621" width="19.85546875" style="6" customWidth="1"/>
    <col min="4622" max="4622" width="16.7109375" style="6" customWidth="1"/>
    <col min="4623" max="4623" width="9.7109375" style="6" customWidth="1"/>
    <col min="4624" max="4624" width="11.42578125" style="6"/>
    <col min="4625" max="4625" width="11.5703125" style="6" bestFit="1" customWidth="1"/>
    <col min="4626" max="4864" width="11.42578125" style="6"/>
    <col min="4865" max="4865" width="18.28515625" style="6" customWidth="1"/>
    <col min="4866" max="4866" width="56.7109375" style="6" customWidth="1"/>
    <col min="4867" max="4867" width="17.42578125" style="6" customWidth="1"/>
    <col min="4868" max="4875" width="16.7109375" style="6" customWidth="1"/>
    <col min="4876" max="4876" width="9" style="6" customWidth="1"/>
    <col min="4877" max="4877" width="19.85546875" style="6" customWidth="1"/>
    <col min="4878" max="4878" width="16.7109375" style="6" customWidth="1"/>
    <col min="4879" max="4879" width="9.7109375" style="6" customWidth="1"/>
    <col min="4880" max="4880" width="11.42578125" style="6"/>
    <col min="4881" max="4881" width="11.5703125" style="6" bestFit="1" customWidth="1"/>
    <col min="4882" max="5120" width="11.42578125" style="6"/>
    <col min="5121" max="5121" width="18.28515625" style="6" customWidth="1"/>
    <col min="5122" max="5122" width="56.7109375" style="6" customWidth="1"/>
    <col min="5123" max="5123" width="17.42578125" style="6" customWidth="1"/>
    <col min="5124" max="5131" width="16.7109375" style="6" customWidth="1"/>
    <col min="5132" max="5132" width="9" style="6" customWidth="1"/>
    <col min="5133" max="5133" width="19.85546875" style="6" customWidth="1"/>
    <col min="5134" max="5134" width="16.7109375" style="6" customWidth="1"/>
    <col min="5135" max="5135" width="9.7109375" style="6" customWidth="1"/>
    <col min="5136" max="5136" width="11.42578125" style="6"/>
    <col min="5137" max="5137" width="11.5703125" style="6" bestFit="1" customWidth="1"/>
    <col min="5138" max="5376" width="11.42578125" style="6"/>
    <col min="5377" max="5377" width="18.28515625" style="6" customWidth="1"/>
    <col min="5378" max="5378" width="56.7109375" style="6" customWidth="1"/>
    <col min="5379" max="5379" width="17.42578125" style="6" customWidth="1"/>
    <col min="5380" max="5387" width="16.7109375" style="6" customWidth="1"/>
    <col min="5388" max="5388" width="9" style="6" customWidth="1"/>
    <col min="5389" max="5389" width="19.85546875" style="6" customWidth="1"/>
    <col min="5390" max="5390" width="16.7109375" style="6" customWidth="1"/>
    <col min="5391" max="5391" width="9.7109375" style="6" customWidth="1"/>
    <col min="5392" max="5392" width="11.42578125" style="6"/>
    <col min="5393" max="5393" width="11.5703125" style="6" bestFit="1" customWidth="1"/>
    <col min="5394" max="5632" width="11.42578125" style="6"/>
    <col min="5633" max="5633" width="18.28515625" style="6" customWidth="1"/>
    <col min="5634" max="5634" width="56.7109375" style="6" customWidth="1"/>
    <col min="5635" max="5635" width="17.42578125" style="6" customWidth="1"/>
    <col min="5636" max="5643" width="16.7109375" style="6" customWidth="1"/>
    <col min="5644" max="5644" width="9" style="6" customWidth="1"/>
    <col min="5645" max="5645" width="19.85546875" style="6" customWidth="1"/>
    <col min="5646" max="5646" width="16.7109375" style="6" customWidth="1"/>
    <col min="5647" max="5647" width="9.7109375" style="6" customWidth="1"/>
    <col min="5648" max="5648" width="11.42578125" style="6"/>
    <col min="5649" max="5649" width="11.5703125" style="6" bestFit="1" customWidth="1"/>
    <col min="5650" max="5888" width="11.42578125" style="6"/>
    <col min="5889" max="5889" width="18.28515625" style="6" customWidth="1"/>
    <col min="5890" max="5890" width="56.7109375" style="6" customWidth="1"/>
    <col min="5891" max="5891" width="17.42578125" style="6" customWidth="1"/>
    <col min="5892" max="5899" width="16.7109375" style="6" customWidth="1"/>
    <col min="5900" max="5900" width="9" style="6" customWidth="1"/>
    <col min="5901" max="5901" width="19.85546875" style="6" customWidth="1"/>
    <col min="5902" max="5902" width="16.7109375" style="6" customWidth="1"/>
    <col min="5903" max="5903" width="9.7109375" style="6" customWidth="1"/>
    <col min="5904" max="5904" width="11.42578125" style="6"/>
    <col min="5905" max="5905" width="11.5703125" style="6" bestFit="1" customWidth="1"/>
    <col min="5906" max="6144" width="11.42578125" style="6"/>
    <col min="6145" max="6145" width="18.28515625" style="6" customWidth="1"/>
    <col min="6146" max="6146" width="56.7109375" style="6" customWidth="1"/>
    <col min="6147" max="6147" width="17.42578125" style="6" customWidth="1"/>
    <col min="6148" max="6155" width="16.7109375" style="6" customWidth="1"/>
    <col min="6156" max="6156" width="9" style="6" customWidth="1"/>
    <col min="6157" max="6157" width="19.85546875" style="6" customWidth="1"/>
    <col min="6158" max="6158" width="16.7109375" style="6" customWidth="1"/>
    <col min="6159" max="6159" width="9.7109375" style="6" customWidth="1"/>
    <col min="6160" max="6160" width="11.42578125" style="6"/>
    <col min="6161" max="6161" width="11.5703125" style="6" bestFit="1" customWidth="1"/>
    <col min="6162" max="6400" width="11.42578125" style="6"/>
    <col min="6401" max="6401" width="18.28515625" style="6" customWidth="1"/>
    <col min="6402" max="6402" width="56.7109375" style="6" customWidth="1"/>
    <col min="6403" max="6403" width="17.42578125" style="6" customWidth="1"/>
    <col min="6404" max="6411" width="16.7109375" style="6" customWidth="1"/>
    <col min="6412" max="6412" width="9" style="6" customWidth="1"/>
    <col min="6413" max="6413" width="19.85546875" style="6" customWidth="1"/>
    <col min="6414" max="6414" width="16.7109375" style="6" customWidth="1"/>
    <col min="6415" max="6415" width="9.7109375" style="6" customWidth="1"/>
    <col min="6416" max="6416" width="11.42578125" style="6"/>
    <col min="6417" max="6417" width="11.5703125" style="6" bestFit="1" customWidth="1"/>
    <col min="6418" max="6656" width="11.42578125" style="6"/>
    <col min="6657" max="6657" width="18.28515625" style="6" customWidth="1"/>
    <col min="6658" max="6658" width="56.7109375" style="6" customWidth="1"/>
    <col min="6659" max="6659" width="17.42578125" style="6" customWidth="1"/>
    <col min="6660" max="6667" width="16.7109375" style="6" customWidth="1"/>
    <col min="6668" max="6668" width="9" style="6" customWidth="1"/>
    <col min="6669" max="6669" width="19.85546875" style="6" customWidth="1"/>
    <col min="6670" max="6670" width="16.7109375" style="6" customWidth="1"/>
    <col min="6671" max="6671" width="9.7109375" style="6" customWidth="1"/>
    <col min="6672" max="6672" width="11.42578125" style="6"/>
    <col min="6673" max="6673" width="11.5703125" style="6" bestFit="1" customWidth="1"/>
    <col min="6674" max="6912" width="11.42578125" style="6"/>
    <col min="6913" max="6913" width="18.28515625" style="6" customWidth="1"/>
    <col min="6914" max="6914" width="56.7109375" style="6" customWidth="1"/>
    <col min="6915" max="6915" width="17.42578125" style="6" customWidth="1"/>
    <col min="6916" max="6923" width="16.7109375" style="6" customWidth="1"/>
    <col min="6924" max="6924" width="9" style="6" customWidth="1"/>
    <col min="6925" max="6925" width="19.85546875" style="6" customWidth="1"/>
    <col min="6926" max="6926" width="16.7109375" style="6" customWidth="1"/>
    <col min="6927" max="6927" width="9.7109375" style="6" customWidth="1"/>
    <col min="6928" max="6928" width="11.42578125" style="6"/>
    <col min="6929" max="6929" width="11.5703125" style="6" bestFit="1" customWidth="1"/>
    <col min="6930" max="7168" width="11.42578125" style="6"/>
    <col min="7169" max="7169" width="18.28515625" style="6" customWidth="1"/>
    <col min="7170" max="7170" width="56.7109375" style="6" customWidth="1"/>
    <col min="7171" max="7171" width="17.42578125" style="6" customWidth="1"/>
    <col min="7172" max="7179" width="16.7109375" style="6" customWidth="1"/>
    <col min="7180" max="7180" width="9" style="6" customWidth="1"/>
    <col min="7181" max="7181" width="19.85546875" style="6" customWidth="1"/>
    <col min="7182" max="7182" width="16.7109375" style="6" customWidth="1"/>
    <col min="7183" max="7183" width="9.7109375" style="6" customWidth="1"/>
    <col min="7184" max="7184" width="11.42578125" style="6"/>
    <col min="7185" max="7185" width="11.5703125" style="6" bestFit="1" customWidth="1"/>
    <col min="7186" max="7424" width="11.42578125" style="6"/>
    <col min="7425" max="7425" width="18.28515625" style="6" customWidth="1"/>
    <col min="7426" max="7426" width="56.7109375" style="6" customWidth="1"/>
    <col min="7427" max="7427" width="17.42578125" style="6" customWidth="1"/>
    <col min="7428" max="7435" width="16.7109375" style="6" customWidth="1"/>
    <col min="7436" max="7436" width="9" style="6" customWidth="1"/>
    <col min="7437" max="7437" width="19.85546875" style="6" customWidth="1"/>
    <col min="7438" max="7438" width="16.7109375" style="6" customWidth="1"/>
    <col min="7439" max="7439" width="9.7109375" style="6" customWidth="1"/>
    <col min="7440" max="7440" width="11.42578125" style="6"/>
    <col min="7441" max="7441" width="11.5703125" style="6" bestFit="1" customWidth="1"/>
    <col min="7442" max="7680" width="11.42578125" style="6"/>
    <col min="7681" max="7681" width="18.28515625" style="6" customWidth="1"/>
    <col min="7682" max="7682" width="56.7109375" style="6" customWidth="1"/>
    <col min="7683" max="7683" width="17.42578125" style="6" customWidth="1"/>
    <col min="7684" max="7691" width="16.7109375" style="6" customWidth="1"/>
    <col min="7692" max="7692" width="9" style="6" customWidth="1"/>
    <col min="7693" max="7693" width="19.85546875" style="6" customWidth="1"/>
    <col min="7694" max="7694" width="16.7109375" style="6" customWidth="1"/>
    <col min="7695" max="7695" width="9.7109375" style="6" customWidth="1"/>
    <col min="7696" max="7696" width="11.42578125" style="6"/>
    <col min="7697" max="7697" width="11.5703125" style="6" bestFit="1" customWidth="1"/>
    <col min="7698" max="7936" width="11.42578125" style="6"/>
    <col min="7937" max="7937" width="18.28515625" style="6" customWidth="1"/>
    <col min="7938" max="7938" width="56.7109375" style="6" customWidth="1"/>
    <col min="7939" max="7939" width="17.42578125" style="6" customWidth="1"/>
    <col min="7940" max="7947" width="16.7109375" style="6" customWidth="1"/>
    <col min="7948" max="7948" width="9" style="6" customWidth="1"/>
    <col min="7949" max="7949" width="19.85546875" style="6" customWidth="1"/>
    <col min="7950" max="7950" width="16.7109375" style="6" customWidth="1"/>
    <col min="7951" max="7951" width="9.7109375" style="6" customWidth="1"/>
    <col min="7952" max="7952" width="11.42578125" style="6"/>
    <col min="7953" max="7953" width="11.5703125" style="6" bestFit="1" customWidth="1"/>
    <col min="7954" max="8192" width="11.42578125" style="6"/>
    <col min="8193" max="8193" width="18.28515625" style="6" customWidth="1"/>
    <col min="8194" max="8194" width="56.7109375" style="6" customWidth="1"/>
    <col min="8195" max="8195" width="17.42578125" style="6" customWidth="1"/>
    <col min="8196" max="8203" width="16.7109375" style="6" customWidth="1"/>
    <col min="8204" max="8204" width="9" style="6" customWidth="1"/>
    <col min="8205" max="8205" width="19.85546875" style="6" customWidth="1"/>
    <col min="8206" max="8206" width="16.7109375" style="6" customWidth="1"/>
    <col min="8207" max="8207" width="9.7109375" style="6" customWidth="1"/>
    <col min="8208" max="8208" width="11.42578125" style="6"/>
    <col min="8209" max="8209" width="11.5703125" style="6" bestFit="1" customWidth="1"/>
    <col min="8210" max="8448" width="11.42578125" style="6"/>
    <col min="8449" max="8449" width="18.28515625" style="6" customWidth="1"/>
    <col min="8450" max="8450" width="56.7109375" style="6" customWidth="1"/>
    <col min="8451" max="8451" width="17.42578125" style="6" customWidth="1"/>
    <col min="8452" max="8459" width="16.7109375" style="6" customWidth="1"/>
    <col min="8460" max="8460" width="9" style="6" customWidth="1"/>
    <col min="8461" max="8461" width="19.85546875" style="6" customWidth="1"/>
    <col min="8462" max="8462" width="16.7109375" style="6" customWidth="1"/>
    <col min="8463" max="8463" width="9.7109375" style="6" customWidth="1"/>
    <col min="8464" max="8464" width="11.42578125" style="6"/>
    <col min="8465" max="8465" width="11.5703125" style="6" bestFit="1" customWidth="1"/>
    <col min="8466" max="8704" width="11.42578125" style="6"/>
    <col min="8705" max="8705" width="18.28515625" style="6" customWidth="1"/>
    <col min="8706" max="8706" width="56.7109375" style="6" customWidth="1"/>
    <col min="8707" max="8707" width="17.42578125" style="6" customWidth="1"/>
    <col min="8708" max="8715" width="16.7109375" style="6" customWidth="1"/>
    <col min="8716" max="8716" width="9" style="6" customWidth="1"/>
    <col min="8717" max="8717" width="19.85546875" style="6" customWidth="1"/>
    <col min="8718" max="8718" width="16.7109375" style="6" customWidth="1"/>
    <col min="8719" max="8719" width="9.7109375" style="6" customWidth="1"/>
    <col min="8720" max="8720" width="11.42578125" style="6"/>
    <col min="8721" max="8721" width="11.5703125" style="6" bestFit="1" customWidth="1"/>
    <col min="8722" max="8960" width="11.42578125" style="6"/>
    <col min="8961" max="8961" width="18.28515625" style="6" customWidth="1"/>
    <col min="8962" max="8962" width="56.7109375" style="6" customWidth="1"/>
    <col min="8963" max="8963" width="17.42578125" style="6" customWidth="1"/>
    <col min="8964" max="8971" width="16.7109375" style="6" customWidth="1"/>
    <col min="8972" max="8972" width="9" style="6" customWidth="1"/>
    <col min="8973" max="8973" width="19.85546875" style="6" customWidth="1"/>
    <col min="8974" max="8974" width="16.7109375" style="6" customWidth="1"/>
    <col min="8975" max="8975" width="9.7109375" style="6" customWidth="1"/>
    <col min="8976" max="8976" width="11.42578125" style="6"/>
    <col min="8977" max="8977" width="11.5703125" style="6" bestFit="1" customWidth="1"/>
    <col min="8978" max="9216" width="11.42578125" style="6"/>
    <col min="9217" max="9217" width="18.28515625" style="6" customWidth="1"/>
    <col min="9218" max="9218" width="56.7109375" style="6" customWidth="1"/>
    <col min="9219" max="9219" width="17.42578125" style="6" customWidth="1"/>
    <col min="9220" max="9227" width="16.7109375" style="6" customWidth="1"/>
    <col min="9228" max="9228" width="9" style="6" customWidth="1"/>
    <col min="9229" max="9229" width="19.85546875" style="6" customWidth="1"/>
    <col min="9230" max="9230" width="16.7109375" style="6" customWidth="1"/>
    <col min="9231" max="9231" width="9.7109375" style="6" customWidth="1"/>
    <col min="9232" max="9232" width="11.42578125" style="6"/>
    <col min="9233" max="9233" width="11.5703125" style="6" bestFit="1" customWidth="1"/>
    <col min="9234" max="9472" width="11.42578125" style="6"/>
    <col min="9473" max="9473" width="18.28515625" style="6" customWidth="1"/>
    <col min="9474" max="9474" width="56.7109375" style="6" customWidth="1"/>
    <col min="9475" max="9475" width="17.42578125" style="6" customWidth="1"/>
    <col min="9476" max="9483" width="16.7109375" style="6" customWidth="1"/>
    <col min="9484" max="9484" width="9" style="6" customWidth="1"/>
    <col min="9485" max="9485" width="19.85546875" style="6" customWidth="1"/>
    <col min="9486" max="9486" width="16.7109375" style="6" customWidth="1"/>
    <col min="9487" max="9487" width="9.7109375" style="6" customWidth="1"/>
    <col min="9488" max="9488" width="11.42578125" style="6"/>
    <col min="9489" max="9489" width="11.5703125" style="6" bestFit="1" customWidth="1"/>
    <col min="9490" max="9728" width="11.42578125" style="6"/>
    <col min="9729" max="9729" width="18.28515625" style="6" customWidth="1"/>
    <col min="9730" max="9730" width="56.7109375" style="6" customWidth="1"/>
    <col min="9731" max="9731" width="17.42578125" style="6" customWidth="1"/>
    <col min="9732" max="9739" width="16.7109375" style="6" customWidth="1"/>
    <col min="9740" max="9740" width="9" style="6" customWidth="1"/>
    <col min="9741" max="9741" width="19.85546875" style="6" customWidth="1"/>
    <col min="9742" max="9742" width="16.7109375" style="6" customWidth="1"/>
    <col min="9743" max="9743" width="9.7109375" style="6" customWidth="1"/>
    <col min="9744" max="9744" width="11.42578125" style="6"/>
    <col min="9745" max="9745" width="11.5703125" style="6" bestFit="1" customWidth="1"/>
    <col min="9746" max="9984" width="11.42578125" style="6"/>
    <col min="9985" max="9985" width="18.28515625" style="6" customWidth="1"/>
    <col min="9986" max="9986" width="56.7109375" style="6" customWidth="1"/>
    <col min="9987" max="9987" width="17.42578125" style="6" customWidth="1"/>
    <col min="9988" max="9995" width="16.7109375" style="6" customWidth="1"/>
    <col min="9996" max="9996" width="9" style="6" customWidth="1"/>
    <col min="9997" max="9997" width="19.85546875" style="6" customWidth="1"/>
    <col min="9998" max="9998" width="16.7109375" style="6" customWidth="1"/>
    <col min="9999" max="9999" width="9.7109375" style="6" customWidth="1"/>
    <col min="10000" max="10000" width="11.42578125" style="6"/>
    <col min="10001" max="10001" width="11.5703125" style="6" bestFit="1" customWidth="1"/>
    <col min="10002" max="10240" width="11.42578125" style="6"/>
    <col min="10241" max="10241" width="18.28515625" style="6" customWidth="1"/>
    <col min="10242" max="10242" width="56.7109375" style="6" customWidth="1"/>
    <col min="10243" max="10243" width="17.42578125" style="6" customWidth="1"/>
    <col min="10244" max="10251" width="16.7109375" style="6" customWidth="1"/>
    <col min="10252" max="10252" width="9" style="6" customWidth="1"/>
    <col min="10253" max="10253" width="19.85546875" style="6" customWidth="1"/>
    <col min="10254" max="10254" width="16.7109375" style="6" customWidth="1"/>
    <col min="10255" max="10255" width="9.7109375" style="6" customWidth="1"/>
    <col min="10256" max="10256" width="11.42578125" style="6"/>
    <col min="10257" max="10257" width="11.5703125" style="6" bestFit="1" customWidth="1"/>
    <col min="10258" max="10496" width="11.42578125" style="6"/>
    <col min="10497" max="10497" width="18.28515625" style="6" customWidth="1"/>
    <col min="10498" max="10498" width="56.7109375" style="6" customWidth="1"/>
    <col min="10499" max="10499" width="17.42578125" style="6" customWidth="1"/>
    <col min="10500" max="10507" width="16.7109375" style="6" customWidth="1"/>
    <col min="10508" max="10508" width="9" style="6" customWidth="1"/>
    <col min="10509" max="10509" width="19.85546875" style="6" customWidth="1"/>
    <col min="10510" max="10510" width="16.7109375" style="6" customWidth="1"/>
    <col min="10511" max="10511" width="9.7109375" style="6" customWidth="1"/>
    <col min="10512" max="10512" width="11.42578125" style="6"/>
    <col min="10513" max="10513" width="11.5703125" style="6" bestFit="1" customWidth="1"/>
    <col min="10514" max="10752" width="11.42578125" style="6"/>
    <col min="10753" max="10753" width="18.28515625" style="6" customWidth="1"/>
    <col min="10754" max="10754" width="56.7109375" style="6" customWidth="1"/>
    <col min="10755" max="10755" width="17.42578125" style="6" customWidth="1"/>
    <col min="10756" max="10763" width="16.7109375" style="6" customWidth="1"/>
    <col min="10764" max="10764" width="9" style="6" customWidth="1"/>
    <col min="10765" max="10765" width="19.85546875" style="6" customWidth="1"/>
    <col min="10766" max="10766" width="16.7109375" style="6" customWidth="1"/>
    <col min="10767" max="10767" width="9.7109375" style="6" customWidth="1"/>
    <col min="10768" max="10768" width="11.42578125" style="6"/>
    <col min="10769" max="10769" width="11.5703125" style="6" bestFit="1" customWidth="1"/>
    <col min="10770" max="11008" width="11.42578125" style="6"/>
    <col min="11009" max="11009" width="18.28515625" style="6" customWidth="1"/>
    <col min="11010" max="11010" width="56.7109375" style="6" customWidth="1"/>
    <col min="11011" max="11011" width="17.42578125" style="6" customWidth="1"/>
    <col min="11012" max="11019" width="16.7109375" style="6" customWidth="1"/>
    <col min="11020" max="11020" width="9" style="6" customWidth="1"/>
    <col min="11021" max="11021" width="19.85546875" style="6" customWidth="1"/>
    <col min="11022" max="11022" width="16.7109375" style="6" customWidth="1"/>
    <col min="11023" max="11023" width="9.7109375" style="6" customWidth="1"/>
    <col min="11024" max="11024" width="11.42578125" style="6"/>
    <col min="11025" max="11025" width="11.5703125" style="6" bestFit="1" customWidth="1"/>
    <col min="11026" max="11264" width="11.42578125" style="6"/>
    <col min="11265" max="11265" width="18.28515625" style="6" customWidth="1"/>
    <col min="11266" max="11266" width="56.7109375" style="6" customWidth="1"/>
    <col min="11267" max="11267" width="17.42578125" style="6" customWidth="1"/>
    <col min="11268" max="11275" width="16.7109375" style="6" customWidth="1"/>
    <col min="11276" max="11276" width="9" style="6" customWidth="1"/>
    <col min="11277" max="11277" width="19.85546875" style="6" customWidth="1"/>
    <col min="11278" max="11278" width="16.7109375" style="6" customWidth="1"/>
    <col min="11279" max="11279" width="9.7109375" style="6" customWidth="1"/>
    <col min="11280" max="11280" width="11.42578125" style="6"/>
    <col min="11281" max="11281" width="11.5703125" style="6" bestFit="1" customWidth="1"/>
    <col min="11282" max="11520" width="11.42578125" style="6"/>
    <col min="11521" max="11521" width="18.28515625" style="6" customWidth="1"/>
    <col min="11522" max="11522" width="56.7109375" style="6" customWidth="1"/>
    <col min="11523" max="11523" width="17.42578125" style="6" customWidth="1"/>
    <col min="11524" max="11531" width="16.7109375" style="6" customWidth="1"/>
    <col min="11532" max="11532" width="9" style="6" customWidth="1"/>
    <col min="11533" max="11533" width="19.85546875" style="6" customWidth="1"/>
    <col min="11534" max="11534" width="16.7109375" style="6" customWidth="1"/>
    <col min="11535" max="11535" width="9.7109375" style="6" customWidth="1"/>
    <col min="11536" max="11536" width="11.42578125" style="6"/>
    <col min="11537" max="11537" width="11.5703125" style="6" bestFit="1" customWidth="1"/>
    <col min="11538" max="11776" width="11.42578125" style="6"/>
    <col min="11777" max="11777" width="18.28515625" style="6" customWidth="1"/>
    <col min="11778" max="11778" width="56.7109375" style="6" customWidth="1"/>
    <col min="11779" max="11779" width="17.42578125" style="6" customWidth="1"/>
    <col min="11780" max="11787" width="16.7109375" style="6" customWidth="1"/>
    <col min="11788" max="11788" width="9" style="6" customWidth="1"/>
    <col min="11789" max="11789" width="19.85546875" style="6" customWidth="1"/>
    <col min="11790" max="11790" width="16.7109375" style="6" customWidth="1"/>
    <col min="11791" max="11791" width="9.7109375" style="6" customWidth="1"/>
    <col min="11792" max="11792" width="11.42578125" style="6"/>
    <col min="11793" max="11793" width="11.5703125" style="6" bestFit="1" customWidth="1"/>
    <col min="11794" max="12032" width="11.42578125" style="6"/>
    <col min="12033" max="12033" width="18.28515625" style="6" customWidth="1"/>
    <col min="12034" max="12034" width="56.7109375" style="6" customWidth="1"/>
    <col min="12035" max="12035" width="17.42578125" style="6" customWidth="1"/>
    <col min="12036" max="12043" width="16.7109375" style="6" customWidth="1"/>
    <col min="12044" max="12044" width="9" style="6" customWidth="1"/>
    <col min="12045" max="12045" width="19.85546875" style="6" customWidth="1"/>
    <col min="12046" max="12046" width="16.7109375" style="6" customWidth="1"/>
    <col min="12047" max="12047" width="9.7109375" style="6" customWidth="1"/>
    <col min="12048" max="12048" width="11.42578125" style="6"/>
    <col min="12049" max="12049" width="11.5703125" style="6" bestFit="1" customWidth="1"/>
    <col min="12050" max="12288" width="11.42578125" style="6"/>
    <col min="12289" max="12289" width="18.28515625" style="6" customWidth="1"/>
    <col min="12290" max="12290" width="56.7109375" style="6" customWidth="1"/>
    <col min="12291" max="12291" width="17.42578125" style="6" customWidth="1"/>
    <col min="12292" max="12299" width="16.7109375" style="6" customWidth="1"/>
    <col min="12300" max="12300" width="9" style="6" customWidth="1"/>
    <col min="12301" max="12301" width="19.85546875" style="6" customWidth="1"/>
    <col min="12302" max="12302" width="16.7109375" style="6" customWidth="1"/>
    <col min="12303" max="12303" width="9.7109375" style="6" customWidth="1"/>
    <col min="12304" max="12304" width="11.42578125" style="6"/>
    <col min="12305" max="12305" width="11.5703125" style="6" bestFit="1" customWidth="1"/>
    <col min="12306" max="12544" width="11.42578125" style="6"/>
    <col min="12545" max="12545" width="18.28515625" style="6" customWidth="1"/>
    <col min="12546" max="12546" width="56.7109375" style="6" customWidth="1"/>
    <col min="12547" max="12547" width="17.42578125" style="6" customWidth="1"/>
    <col min="12548" max="12555" width="16.7109375" style="6" customWidth="1"/>
    <col min="12556" max="12556" width="9" style="6" customWidth="1"/>
    <col min="12557" max="12557" width="19.85546875" style="6" customWidth="1"/>
    <col min="12558" max="12558" width="16.7109375" style="6" customWidth="1"/>
    <col min="12559" max="12559" width="9.7109375" style="6" customWidth="1"/>
    <col min="12560" max="12560" width="11.42578125" style="6"/>
    <col min="12561" max="12561" width="11.5703125" style="6" bestFit="1" customWidth="1"/>
    <col min="12562" max="12800" width="11.42578125" style="6"/>
    <col min="12801" max="12801" width="18.28515625" style="6" customWidth="1"/>
    <col min="12802" max="12802" width="56.7109375" style="6" customWidth="1"/>
    <col min="12803" max="12803" width="17.42578125" style="6" customWidth="1"/>
    <col min="12804" max="12811" width="16.7109375" style="6" customWidth="1"/>
    <col min="12812" max="12812" width="9" style="6" customWidth="1"/>
    <col min="12813" max="12813" width="19.85546875" style="6" customWidth="1"/>
    <col min="12814" max="12814" width="16.7109375" style="6" customWidth="1"/>
    <col min="12815" max="12815" width="9.7109375" style="6" customWidth="1"/>
    <col min="12816" max="12816" width="11.42578125" style="6"/>
    <col min="12817" max="12817" width="11.5703125" style="6" bestFit="1" customWidth="1"/>
    <col min="12818" max="13056" width="11.42578125" style="6"/>
    <col min="13057" max="13057" width="18.28515625" style="6" customWidth="1"/>
    <col min="13058" max="13058" width="56.7109375" style="6" customWidth="1"/>
    <col min="13059" max="13059" width="17.42578125" style="6" customWidth="1"/>
    <col min="13060" max="13067" width="16.7109375" style="6" customWidth="1"/>
    <col min="13068" max="13068" width="9" style="6" customWidth="1"/>
    <col min="13069" max="13069" width="19.85546875" style="6" customWidth="1"/>
    <col min="13070" max="13070" width="16.7109375" style="6" customWidth="1"/>
    <col min="13071" max="13071" width="9.7109375" style="6" customWidth="1"/>
    <col min="13072" max="13072" width="11.42578125" style="6"/>
    <col min="13073" max="13073" width="11.5703125" style="6" bestFit="1" customWidth="1"/>
    <col min="13074" max="13312" width="11.42578125" style="6"/>
    <col min="13313" max="13313" width="18.28515625" style="6" customWidth="1"/>
    <col min="13314" max="13314" width="56.7109375" style="6" customWidth="1"/>
    <col min="13315" max="13315" width="17.42578125" style="6" customWidth="1"/>
    <col min="13316" max="13323" width="16.7109375" style="6" customWidth="1"/>
    <col min="13324" max="13324" width="9" style="6" customWidth="1"/>
    <col min="13325" max="13325" width="19.85546875" style="6" customWidth="1"/>
    <col min="13326" max="13326" width="16.7109375" style="6" customWidth="1"/>
    <col min="13327" max="13327" width="9.7109375" style="6" customWidth="1"/>
    <col min="13328" max="13328" width="11.42578125" style="6"/>
    <col min="13329" max="13329" width="11.5703125" style="6" bestFit="1" customWidth="1"/>
    <col min="13330" max="13568" width="11.42578125" style="6"/>
    <col min="13569" max="13569" width="18.28515625" style="6" customWidth="1"/>
    <col min="13570" max="13570" width="56.7109375" style="6" customWidth="1"/>
    <col min="13571" max="13571" width="17.42578125" style="6" customWidth="1"/>
    <col min="13572" max="13579" width="16.7109375" style="6" customWidth="1"/>
    <col min="13580" max="13580" width="9" style="6" customWidth="1"/>
    <col min="13581" max="13581" width="19.85546875" style="6" customWidth="1"/>
    <col min="13582" max="13582" width="16.7109375" style="6" customWidth="1"/>
    <col min="13583" max="13583" width="9.7109375" style="6" customWidth="1"/>
    <col min="13584" max="13584" width="11.42578125" style="6"/>
    <col min="13585" max="13585" width="11.5703125" style="6" bestFit="1" customWidth="1"/>
    <col min="13586" max="13824" width="11.42578125" style="6"/>
    <col min="13825" max="13825" width="18.28515625" style="6" customWidth="1"/>
    <col min="13826" max="13826" width="56.7109375" style="6" customWidth="1"/>
    <col min="13827" max="13827" width="17.42578125" style="6" customWidth="1"/>
    <col min="13828" max="13835" width="16.7109375" style="6" customWidth="1"/>
    <col min="13836" max="13836" width="9" style="6" customWidth="1"/>
    <col min="13837" max="13837" width="19.85546875" style="6" customWidth="1"/>
    <col min="13838" max="13838" width="16.7109375" style="6" customWidth="1"/>
    <col min="13839" max="13839" width="9.7109375" style="6" customWidth="1"/>
    <col min="13840" max="13840" width="11.42578125" style="6"/>
    <col min="13841" max="13841" width="11.5703125" style="6" bestFit="1" customWidth="1"/>
    <col min="13842" max="14080" width="11.42578125" style="6"/>
    <col min="14081" max="14081" width="18.28515625" style="6" customWidth="1"/>
    <col min="14082" max="14082" width="56.7109375" style="6" customWidth="1"/>
    <col min="14083" max="14083" width="17.42578125" style="6" customWidth="1"/>
    <col min="14084" max="14091" width="16.7109375" style="6" customWidth="1"/>
    <col min="14092" max="14092" width="9" style="6" customWidth="1"/>
    <col min="14093" max="14093" width="19.85546875" style="6" customWidth="1"/>
    <col min="14094" max="14094" width="16.7109375" style="6" customWidth="1"/>
    <col min="14095" max="14095" width="9.7109375" style="6" customWidth="1"/>
    <col min="14096" max="14096" width="11.42578125" style="6"/>
    <col min="14097" max="14097" width="11.5703125" style="6" bestFit="1" customWidth="1"/>
    <col min="14098" max="14336" width="11.42578125" style="6"/>
    <col min="14337" max="14337" width="18.28515625" style="6" customWidth="1"/>
    <col min="14338" max="14338" width="56.7109375" style="6" customWidth="1"/>
    <col min="14339" max="14339" width="17.42578125" style="6" customWidth="1"/>
    <col min="14340" max="14347" width="16.7109375" style="6" customWidth="1"/>
    <col min="14348" max="14348" width="9" style="6" customWidth="1"/>
    <col min="14349" max="14349" width="19.85546875" style="6" customWidth="1"/>
    <col min="14350" max="14350" width="16.7109375" style="6" customWidth="1"/>
    <col min="14351" max="14351" width="9.7109375" style="6" customWidth="1"/>
    <col min="14352" max="14352" width="11.42578125" style="6"/>
    <col min="14353" max="14353" width="11.5703125" style="6" bestFit="1" customWidth="1"/>
    <col min="14354" max="14592" width="11.42578125" style="6"/>
    <col min="14593" max="14593" width="18.28515625" style="6" customWidth="1"/>
    <col min="14594" max="14594" width="56.7109375" style="6" customWidth="1"/>
    <col min="14595" max="14595" width="17.42578125" style="6" customWidth="1"/>
    <col min="14596" max="14603" width="16.7109375" style="6" customWidth="1"/>
    <col min="14604" max="14604" width="9" style="6" customWidth="1"/>
    <col min="14605" max="14605" width="19.85546875" style="6" customWidth="1"/>
    <col min="14606" max="14606" width="16.7109375" style="6" customWidth="1"/>
    <col min="14607" max="14607" width="9.7109375" style="6" customWidth="1"/>
    <col min="14608" max="14608" width="11.42578125" style="6"/>
    <col min="14609" max="14609" width="11.5703125" style="6" bestFit="1" customWidth="1"/>
    <col min="14610" max="14848" width="11.42578125" style="6"/>
    <col min="14849" max="14849" width="18.28515625" style="6" customWidth="1"/>
    <col min="14850" max="14850" width="56.7109375" style="6" customWidth="1"/>
    <col min="14851" max="14851" width="17.42578125" style="6" customWidth="1"/>
    <col min="14852" max="14859" width="16.7109375" style="6" customWidth="1"/>
    <col min="14860" max="14860" width="9" style="6" customWidth="1"/>
    <col min="14861" max="14861" width="19.85546875" style="6" customWidth="1"/>
    <col min="14862" max="14862" width="16.7109375" style="6" customWidth="1"/>
    <col min="14863" max="14863" width="9.7109375" style="6" customWidth="1"/>
    <col min="14864" max="14864" width="11.42578125" style="6"/>
    <col min="14865" max="14865" width="11.5703125" style="6" bestFit="1" customWidth="1"/>
    <col min="14866" max="15104" width="11.42578125" style="6"/>
    <col min="15105" max="15105" width="18.28515625" style="6" customWidth="1"/>
    <col min="15106" max="15106" width="56.7109375" style="6" customWidth="1"/>
    <col min="15107" max="15107" width="17.42578125" style="6" customWidth="1"/>
    <col min="15108" max="15115" width="16.7109375" style="6" customWidth="1"/>
    <col min="15116" max="15116" width="9" style="6" customWidth="1"/>
    <col min="15117" max="15117" width="19.85546875" style="6" customWidth="1"/>
    <col min="15118" max="15118" width="16.7109375" style="6" customWidth="1"/>
    <col min="15119" max="15119" width="9.7109375" style="6" customWidth="1"/>
    <col min="15120" max="15120" width="11.42578125" style="6"/>
    <col min="15121" max="15121" width="11.5703125" style="6" bestFit="1" customWidth="1"/>
    <col min="15122" max="15360" width="11.42578125" style="6"/>
    <col min="15361" max="15361" width="18.28515625" style="6" customWidth="1"/>
    <col min="15362" max="15362" width="56.7109375" style="6" customWidth="1"/>
    <col min="15363" max="15363" width="17.42578125" style="6" customWidth="1"/>
    <col min="15364" max="15371" width="16.7109375" style="6" customWidth="1"/>
    <col min="15372" max="15372" width="9" style="6" customWidth="1"/>
    <col min="15373" max="15373" width="19.85546875" style="6" customWidth="1"/>
    <col min="15374" max="15374" width="16.7109375" style="6" customWidth="1"/>
    <col min="15375" max="15375" width="9.7109375" style="6" customWidth="1"/>
    <col min="15376" max="15376" width="11.42578125" style="6"/>
    <col min="15377" max="15377" width="11.5703125" style="6" bestFit="1" customWidth="1"/>
    <col min="15378" max="15616" width="11.42578125" style="6"/>
    <col min="15617" max="15617" width="18.28515625" style="6" customWidth="1"/>
    <col min="15618" max="15618" width="56.7109375" style="6" customWidth="1"/>
    <col min="15619" max="15619" width="17.42578125" style="6" customWidth="1"/>
    <col min="15620" max="15627" width="16.7109375" style="6" customWidth="1"/>
    <col min="15628" max="15628" width="9" style="6" customWidth="1"/>
    <col min="15629" max="15629" width="19.85546875" style="6" customWidth="1"/>
    <col min="15630" max="15630" width="16.7109375" style="6" customWidth="1"/>
    <col min="15631" max="15631" width="9.7109375" style="6" customWidth="1"/>
    <col min="15632" max="15632" width="11.42578125" style="6"/>
    <col min="15633" max="15633" width="11.5703125" style="6" bestFit="1" customWidth="1"/>
    <col min="15634" max="15872" width="11.42578125" style="6"/>
    <col min="15873" max="15873" width="18.28515625" style="6" customWidth="1"/>
    <col min="15874" max="15874" width="56.7109375" style="6" customWidth="1"/>
    <col min="15875" max="15875" width="17.42578125" style="6" customWidth="1"/>
    <col min="15876" max="15883" width="16.7109375" style="6" customWidth="1"/>
    <col min="15884" max="15884" width="9" style="6" customWidth="1"/>
    <col min="15885" max="15885" width="19.85546875" style="6" customWidth="1"/>
    <col min="15886" max="15886" width="16.7109375" style="6" customWidth="1"/>
    <col min="15887" max="15887" width="9.7109375" style="6" customWidth="1"/>
    <col min="15888" max="15888" width="11.42578125" style="6"/>
    <col min="15889" max="15889" width="11.5703125" style="6" bestFit="1" customWidth="1"/>
    <col min="15890" max="16128" width="11.42578125" style="6"/>
    <col min="16129" max="16129" width="18.28515625" style="6" customWidth="1"/>
    <col min="16130" max="16130" width="56.7109375" style="6" customWidth="1"/>
    <col min="16131" max="16131" width="17.42578125" style="6" customWidth="1"/>
    <col min="16132" max="16139" width="16.7109375" style="6" customWidth="1"/>
    <col min="16140" max="16140" width="9" style="6" customWidth="1"/>
    <col min="16141" max="16141" width="19.85546875" style="6" customWidth="1"/>
    <col min="16142" max="16142" width="16.7109375" style="6" customWidth="1"/>
    <col min="16143" max="16143" width="9.7109375" style="6" customWidth="1"/>
    <col min="16144" max="16144" width="11.42578125" style="6"/>
    <col min="16145" max="16145" width="11.5703125" style="6" bestFit="1" customWidth="1"/>
    <col min="16146" max="16384" width="11.42578125" style="6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10"/>
      <c r="N3" s="9"/>
      <c r="O3" s="5"/>
    </row>
    <row r="4" spans="1:15" ht="18.75" thickBot="1" x14ac:dyDescent="0.3">
      <c r="A4" s="3"/>
      <c r="B4" s="9"/>
      <c r="C4" s="9"/>
      <c r="D4" s="9"/>
      <c r="E4" s="11"/>
      <c r="F4" s="11"/>
      <c r="G4" s="9"/>
      <c r="H4" s="9"/>
      <c r="I4" s="9"/>
      <c r="J4" s="9"/>
      <c r="K4" s="9"/>
      <c r="L4" s="9"/>
      <c r="M4" s="10"/>
      <c r="N4" s="9"/>
      <c r="O4" s="5"/>
    </row>
    <row r="5" spans="1:15" ht="15.75" x14ac:dyDescent="0.2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8" t="s">
        <v>11</v>
      </c>
      <c r="J5" s="14" t="s">
        <v>12</v>
      </c>
      <c r="K5" s="15" t="s">
        <v>13</v>
      </c>
      <c r="L5" s="18" t="s">
        <v>14</v>
      </c>
      <c r="M5" s="19" t="s">
        <v>10</v>
      </c>
      <c r="N5" s="14" t="s">
        <v>15</v>
      </c>
      <c r="O5" s="20" t="s">
        <v>14</v>
      </c>
    </row>
    <row r="6" spans="1:15" ht="16.5" thickBot="1" x14ac:dyDescent="0.3">
      <c r="A6" s="21"/>
      <c r="B6" s="22"/>
      <c r="C6" s="23" t="s">
        <v>16</v>
      </c>
      <c r="D6" s="24"/>
      <c r="E6" s="25"/>
      <c r="F6" s="26"/>
      <c r="G6" s="23" t="s">
        <v>8</v>
      </c>
      <c r="H6" s="24" t="s">
        <v>5</v>
      </c>
      <c r="I6" s="27" t="s">
        <v>17</v>
      </c>
      <c r="J6" s="23" t="s">
        <v>18</v>
      </c>
      <c r="K6" s="24" t="s">
        <v>19</v>
      </c>
      <c r="L6" s="27"/>
      <c r="M6" s="28" t="s">
        <v>19</v>
      </c>
      <c r="N6" s="23" t="s">
        <v>20</v>
      </c>
      <c r="O6" s="29"/>
    </row>
    <row r="7" spans="1:15" x14ac:dyDescent="0.25">
      <c r="A7" s="30"/>
      <c r="B7" s="31"/>
      <c r="C7" s="32"/>
      <c r="D7" s="32"/>
      <c r="E7" s="33"/>
      <c r="F7" s="33"/>
      <c r="G7" s="32"/>
      <c r="H7" s="32"/>
      <c r="I7" s="34"/>
      <c r="J7" s="32"/>
      <c r="K7" s="32"/>
      <c r="L7" s="32"/>
      <c r="M7" s="35"/>
      <c r="N7" s="36"/>
      <c r="O7" s="37"/>
    </row>
    <row r="8" spans="1:15" ht="15.75" x14ac:dyDescent="0.25">
      <c r="A8" s="38" t="s">
        <v>21</v>
      </c>
      <c r="B8" s="39" t="s">
        <v>22</v>
      </c>
      <c r="C8" s="40">
        <f>C9+C10+C11+C12+C13+C14+C15+C16+C17</f>
        <v>557700000</v>
      </c>
      <c r="D8" s="41">
        <f>D9</f>
        <v>0</v>
      </c>
      <c r="E8" s="41">
        <f>E9+E10+E11+E12+E13+E14+E15+E16+E17+E18</f>
        <v>10000000</v>
      </c>
      <c r="F8" s="41">
        <f>F9+F10+F11+F12+F13+F14+F15+F16+F17</f>
        <v>0</v>
      </c>
      <c r="G8" s="42">
        <f>G9+G10+G11+G12+G13+G14+G15+G16+G17</f>
        <v>31000000</v>
      </c>
      <c r="H8" s="41">
        <f>H9+H10+H11+H12+H13+H14+H15+H16+H17+H18</f>
        <v>536700000</v>
      </c>
      <c r="I8" s="41">
        <f>I9+I10+I11+I12+I13+I14+I15+I16+I17</f>
        <v>174151197</v>
      </c>
      <c r="J8" s="41">
        <f>J9+J10+J11+J12+J13+J14+J15+J16+J17+J18</f>
        <v>44284275</v>
      </c>
      <c r="K8" s="41">
        <f>K9+K10+K11+K12+K13+K14+K15+K16+K17+K18</f>
        <v>218435472</v>
      </c>
      <c r="L8" s="43">
        <f t="shared" ref="L8:L63" si="0">K8/H8</f>
        <v>0.40699733929569593</v>
      </c>
      <c r="M8" s="44">
        <f>M9+M10+M11+M12+M13+M14+M15+M16+M17+M18</f>
        <v>218435472</v>
      </c>
      <c r="N8" s="45">
        <f>SUM(N9:N18)</f>
        <v>318264528</v>
      </c>
      <c r="O8" s="46">
        <f t="shared" ref="O8:O37" si="1">N8/H8</f>
        <v>0.59300266070430407</v>
      </c>
    </row>
    <row r="9" spans="1:15" x14ac:dyDescent="0.25">
      <c r="A9" s="47" t="s">
        <v>23</v>
      </c>
      <c r="B9" s="48" t="s">
        <v>24</v>
      </c>
      <c r="C9" s="49">
        <v>402600000</v>
      </c>
      <c r="D9" s="50"/>
      <c r="E9" s="51">
        <v>5000000</v>
      </c>
      <c r="F9" s="52"/>
      <c r="G9" s="53"/>
      <c r="H9" s="54">
        <f t="shared" ref="H9:H62" si="2">C9-D9+E9+F9-G9</f>
        <v>407600000</v>
      </c>
      <c r="I9" s="50">
        <f>29304579+30013063+34734010+36677868</f>
        <v>130729520</v>
      </c>
      <c r="J9" s="50">
        <v>33811796</v>
      </c>
      <c r="K9" s="54">
        <f>SUM(I9:J9)</f>
        <v>164541316</v>
      </c>
      <c r="L9" s="43">
        <f t="shared" si="0"/>
        <v>0.40368330716388617</v>
      </c>
      <c r="M9" s="55">
        <f t="shared" ref="M9:M62" si="3">J9+I9</f>
        <v>164541316</v>
      </c>
      <c r="N9" s="56">
        <f t="shared" ref="N9:N18" si="4">H9-K9</f>
        <v>243058684</v>
      </c>
      <c r="O9" s="46">
        <f t="shared" si="1"/>
        <v>0.59631669283611388</v>
      </c>
    </row>
    <row r="10" spans="1:15" x14ac:dyDescent="0.25">
      <c r="A10" s="47" t="s">
        <v>25</v>
      </c>
      <c r="B10" s="48" t="s">
        <v>26</v>
      </c>
      <c r="C10" s="49">
        <v>26000000</v>
      </c>
      <c r="D10" s="50"/>
      <c r="E10" s="51"/>
      <c r="F10" s="52"/>
      <c r="G10" s="53">
        <v>26000000</v>
      </c>
      <c r="H10" s="54">
        <f t="shared" si="2"/>
        <v>0</v>
      </c>
      <c r="I10" s="50"/>
      <c r="J10" s="50"/>
      <c r="K10" s="54">
        <f t="shared" ref="K10:K23" si="5">SUM(I10:J10)</f>
        <v>0</v>
      </c>
      <c r="L10" s="43" t="e">
        <f t="shared" si="0"/>
        <v>#DIV/0!</v>
      </c>
      <c r="M10" s="55">
        <f t="shared" si="3"/>
        <v>0</v>
      </c>
      <c r="N10" s="56">
        <f t="shared" si="4"/>
        <v>0</v>
      </c>
      <c r="O10" s="46" t="e">
        <f t="shared" si="1"/>
        <v>#DIV/0!</v>
      </c>
    </row>
    <row r="11" spans="1:15" x14ac:dyDescent="0.25">
      <c r="A11" s="47" t="s">
        <v>27</v>
      </c>
      <c r="B11" s="48" t="s">
        <v>28</v>
      </c>
      <c r="C11" s="57">
        <v>2100000</v>
      </c>
      <c r="D11" s="50"/>
      <c r="E11" s="51"/>
      <c r="F11" s="52"/>
      <c r="G11" s="53"/>
      <c r="H11" s="54">
        <f t="shared" si="2"/>
        <v>2100000</v>
      </c>
      <c r="I11" s="50">
        <f>144000+114600+163200+79260</f>
        <v>501060</v>
      </c>
      <c r="J11" s="50">
        <v>46620</v>
      </c>
      <c r="K11" s="54">
        <f t="shared" si="5"/>
        <v>547680</v>
      </c>
      <c r="L11" s="43">
        <f t="shared" si="0"/>
        <v>0.26079999999999998</v>
      </c>
      <c r="M11" s="55">
        <f t="shared" si="3"/>
        <v>547680</v>
      </c>
      <c r="N11" s="56">
        <f t="shared" si="4"/>
        <v>1552320</v>
      </c>
      <c r="O11" s="46">
        <f t="shared" si="1"/>
        <v>0.73919999999999997</v>
      </c>
    </row>
    <row r="12" spans="1:15" ht="15.75" customHeight="1" x14ac:dyDescent="0.25">
      <c r="A12" s="47" t="s">
        <v>29</v>
      </c>
      <c r="B12" s="48" t="s">
        <v>30</v>
      </c>
      <c r="C12" s="57">
        <v>1500000</v>
      </c>
      <c r="D12" s="50"/>
      <c r="E12" s="51"/>
      <c r="F12" s="52"/>
      <c r="G12" s="53"/>
      <c r="H12" s="54">
        <f t="shared" si="2"/>
        <v>1500000</v>
      </c>
      <c r="I12" s="50">
        <f>169757+107782+30151</f>
        <v>307690</v>
      </c>
      <c r="J12" s="50">
        <v>32180</v>
      </c>
      <c r="K12" s="54">
        <f t="shared" si="5"/>
        <v>339870</v>
      </c>
      <c r="L12" s="43">
        <f t="shared" si="0"/>
        <v>0.22658</v>
      </c>
      <c r="M12" s="55">
        <f t="shared" si="3"/>
        <v>339870</v>
      </c>
      <c r="N12" s="56">
        <f t="shared" si="4"/>
        <v>1160130</v>
      </c>
      <c r="O12" s="46">
        <f t="shared" si="1"/>
        <v>0.77342</v>
      </c>
    </row>
    <row r="13" spans="1:15" x14ac:dyDescent="0.25">
      <c r="A13" s="47" t="s">
        <v>31</v>
      </c>
      <c r="B13" s="48" t="s">
        <v>32</v>
      </c>
      <c r="C13" s="49">
        <v>12000000</v>
      </c>
      <c r="D13" s="50"/>
      <c r="E13" s="51"/>
      <c r="F13" s="52"/>
      <c r="G13" s="53"/>
      <c r="H13" s="54">
        <f t="shared" si="2"/>
        <v>12000000</v>
      </c>
      <c r="I13" s="50">
        <f>3148098+746847+244608</f>
        <v>4139553</v>
      </c>
      <c r="J13" s="58"/>
      <c r="K13" s="54">
        <f t="shared" si="5"/>
        <v>4139553</v>
      </c>
      <c r="L13" s="43">
        <f t="shared" si="0"/>
        <v>0.34496274999999998</v>
      </c>
      <c r="M13" s="55">
        <f t="shared" si="3"/>
        <v>4139553</v>
      </c>
      <c r="N13" s="56">
        <f t="shared" si="4"/>
        <v>7860447</v>
      </c>
      <c r="O13" s="46">
        <f t="shared" si="1"/>
        <v>0.65503725000000002</v>
      </c>
    </row>
    <row r="14" spans="1:15" x14ac:dyDescent="0.25">
      <c r="A14" s="47" t="s">
        <v>33</v>
      </c>
      <c r="B14" s="48" t="s">
        <v>34</v>
      </c>
      <c r="C14" s="49">
        <v>18000000</v>
      </c>
      <c r="D14" s="50"/>
      <c r="E14" s="51"/>
      <c r="F14" s="52"/>
      <c r="G14" s="53"/>
      <c r="H14" s="54">
        <f t="shared" si="2"/>
        <v>18000000</v>
      </c>
      <c r="I14" s="50">
        <f>3352049+195362</f>
        <v>3547411</v>
      </c>
      <c r="J14" s="58"/>
      <c r="K14" s="54">
        <f t="shared" si="5"/>
        <v>3547411</v>
      </c>
      <c r="L14" s="43">
        <f t="shared" si="0"/>
        <v>0.1970783888888889</v>
      </c>
      <c r="M14" s="55">
        <f t="shared" si="3"/>
        <v>3547411</v>
      </c>
      <c r="N14" s="56">
        <f t="shared" si="4"/>
        <v>14452589</v>
      </c>
      <c r="O14" s="46">
        <f t="shared" si="1"/>
        <v>0.80292161111111116</v>
      </c>
    </row>
    <row r="15" spans="1:15" x14ac:dyDescent="0.25">
      <c r="A15" s="47" t="s">
        <v>35</v>
      </c>
      <c r="B15" s="48" t="s">
        <v>36</v>
      </c>
      <c r="C15" s="49">
        <v>26500000</v>
      </c>
      <c r="D15" s="50"/>
      <c r="E15" s="51"/>
      <c r="F15" s="52"/>
      <c r="G15" s="53"/>
      <c r="H15" s="54">
        <f t="shared" si="2"/>
        <v>26500000</v>
      </c>
      <c r="I15" s="50">
        <f>5688648+7126492</f>
        <v>12815140</v>
      </c>
      <c r="J15" s="58">
        <v>3954466</v>
      </c>
      <c r="K15" s="54">
        <f t="shared" si="5"/>
        <v>16769606</v>
      </c>
      <c r="L15" s="43">
        <f t="shared" si="0"/>
        <v>0.63281532075471703</v>
      </c>
      <c r="M15" s="55">
        <f t="shared" si="3"/>
        <v>16769606</v>
      </c>
      <c r="N15" s="56">
        <f t="shared" si="4"/>
        <v>9730394</v>
      </c>
      <c r="O15" s="46">
        <f t="shared" si="1"/>
        <v>0.36718467924528303</v>
      </c>
    </row>
    <row r="16" spans="1:15" x14ac:dyDescent="0.25">
      <c r="A16" s="59">
        <v>2020110109</v>
      </c>
      <c r="B16" s="48" t="s">
        <v>37</v>
      </c>
      <c r="C16" s="49">
        <v>34000000</v>
      </c>
      <c r="D16" s="50"/>
      <c r="E16" s="51"/>
      <c r="F16" s="52"/>
      <c r="G16" s="53"/>
      <c r="H16" s="54">
        <f t="shared" si="2"/>
        <v>34000000</v>
      </c>
      <c r="I16" s="50">
        <f>10484584+11097753</f>
        <v>21582337</v>
      </c>
      <c r="J16" s="58">
        <v>6439213</v>
      </c>
      <c r="K16" s="54">
        <f>SUM(I16:J16)</f>
        <v>28021550</v>
      </c>
      <c r="L16" s="43">
        <f t="shared" si="0"/>
        <v>0.82416323529411761</v>
      </c>
      <c r="M16" s="55">
        <f t="shared" si="3"/>
        <v>28021550</v>
      </c>
      <c r="N16" s="56">
        <f t="shared" si="4"/>
        <v>5978450</v>
      </c>
      <c r="O16" s="46">
        <f t="shared" si="1"/>
        <v>0.17583676470588236</v>
      </c>
    </row>
    <row r="17" spans="1:17" x14ac:dyDescent="0.25">
      <c r="A17" s="59">
        <v>2020110108</v>
      </c>
      <c r="B17" s="48" t="s">
        <v>38</v>
      </c>
      <c r="C17" s="49">
        <v>35000000</v>
      </c>
      <c r="D17" s="50"/>
      <c r="E17" s="51"/>
      <c r="F17" s="52"/>
      <c r="G17" s="53">
        <v>5000000</v>
      </c>
      <c r="H17" s="54">
        <f t="shared" si="2"/>
        <v>30000000</v>
      </c>
      <c r="I17" s="50">
        <f>501306+27180</f>
        <v>528486</v>
      </c>
      <c r="J17" s="60"/>
      <c r="K17" s="54">
        <f t="shared" si="5"/>
        <v>528486</v>
      </c>
      <c r="L17" s="43">
        <f t="shared" si="0"/>
        <v>1.7616199999999999E-2</v>
      </c>
      <c r="M17" s="55">
        <f t="shared" si="3"/>
        <v>528486</v>
      </c>
      <c r="N17" s="56">
        <f t="shared" si="4"/>
        <v>29471514</v>
      </c>
      <c r="O17" s="46">
        <f t="shared" si="1"/>
        <v>0.98238380000000003</v>
      </c>
      <c r="Q17" s="61"/>
    </row>
    <row r="18" spans="1:17" x14ac:dyDescent="0.25">
      <c r="A18" s="62">
        <v>45</v>
      </c>
      <c r="B18" s="48" t="s">
        <v>38</v>
      </c>
      <c r="C18" s="63"/>
      <c r="D18" s="50"/>
      <c r="E18" s="51">
        <v>5000000</v>
      </c>
      <c r="F18" s="52"/>
      <c r="G18" s="53"/>
      <c r="H18" s="54">
        <f t="shared" si="2"/>
        <v>5000000</v>
      </c>
      <c r="I18" s="50"/>
      <c r="J18" s="58"/>
      <c r="K18" s="54"/>
      <c r="L18" s="43">
        <f t="shared" si="0"/>
        <v>0</v>
      </c>
      <c r="M18" s="55">
        <f t="shared" si="3"/>
        <v>0</v>
      </c>
      <c r="N18" s="56">
        <f t="shared" si="4"/>
        <v>5000000</v>
      </c>
      <c r="O18" s="46">
        <f t="shared" si="1"/>
        <v>1</v>
      </c>
      <c r="Q18" s="61"/>
    </row>
    <row r="19" spans="1:17" ht="15.75" x14ac:dyDescent="0.25">
      <c r="A19" s="38" t="s">
        <v>39</v>
      </c>
      <c r="B19" s="64" t="s">
        <v>40</v>
      </c>
      <c r="C19" s="65">
        <f>C20+C22+C23</f>
        <v>15000000</v>
      </c>
      <c r="D19" s="50"/>
      <c r="E19" s="66">
        <f>E20+E22+E23+E21</f>
        <v>46000000</v>
      </c>
      <c r="F19" s="67">
        <f>F20+F22+F23</f>
        <v>17280000</v>
      </c>
      <c r="G19" s="68">
        <f>G20+G22+G23</f>
        <v>0</v>
      </c>
      <c r="H19" s="41">
        <f>H20+H22+H23+H21</f>
        <v>78280000</v>
      </c>
      <c r="I19" s="69">
        <f>I20+I22+I23</f>
        <v>32280000</v>
      </c>
      <c r="J19" s="69">
        <f>J20+J21+J22+J23</f>
        <v>0</v>
      </c>
      <c r="K19" s="41">
        <f>K20+K22+K23+K21</f>
        <v>61080000</v>
      </c>
      <c r="L19" s="43">
        <f t="shared" si="0"/>
        <v>0.78027593254982119</v>
      </c>
      <c r="M19" s="44">
        <f>M20+M22+M23+M21</f>
        <v>61080000</v>
      </c>
      <c r="N19" s="70">
        <f>SUM(N20:N23)</f>
        <v>17200000</v>
      </c>
      <c r="O19" s="46">
        <f t="shared" si="1"/>
        <v>0.21972406745017883</v>
      </c>
    </row>
    <row r="20" spans="1:17" x14ac:dyDescent="0.25">
      <c r="A20" s="47" t="s">
        <v>41</v>
      </c>
      <c r="B20" s="71" t="s">
        <v>42</v>
      </c>
      <c r="C20" s="49">
        <v>15000000</v>
      </c>
      <c r="D20" s="50"/>
      <c r="E20" s="51">
        <v>10000000</v>
      </c>
      <c r="F20" s="52">
        <v>17280000</v>
      </c>
      <c r="G20" s="53"/>
      <c r="H20" s="54">
        <f t="shared" si="2"/>
        <v>42280000</v>
      </c>
      <c r="I20" s="50">
        <f>32280000</f>
        <v>32280000</v>
      </c>
      <c r="J20" s="50"/>
      <c r="K20" s="54">
        <f t="shared" si="5"/>
        <v>32280000</v>
      </c>
      <c r="L20" s="43">
        <f t="shared" si="0"/>
        <v>0.76348155156102171</v>
      </c>
      <c r="M20" s="55">
        <f t="shared" si="3"/>
        <v>32280000</v>
      </c>
      <c r="N20" s="56">
        <f>H20-K20</f>
        <v>10000000</v>
      </c>
      <c r="O20" s="46">
        <f t="shared" si="1"/>
        <v>0.23651844843897823</v>
      </c>
    </row>
    <row r="21" spans="1:17" x14ac:dyDescent="0.25">
      <c r="A21" s="47">
        <v>45</v>
      </c>
      <c r="B21" s="71" t="s">
        <v>42</v>
      </c>
      <c r="C21" s="49"/>
      <c r="D21" s="50"/>
      <c r="E21" s="51">
        <v>36000000</v>
      </c>
      <c r="F21" s="52"/>
      <c r="G21" s="53"/>
      <c r="H21" s="54">
        <f t="shared" si="2"/>
        <v>36000000</v>
      </c>
      <c r="I21" s="50">
        <f>28000000+800000</f>
        <v>28800000</v>
      </c>
      <c r="J21" s="50"/>
      <c r="K21" s="54">
        <f t="shared" si="5"/>
        <v>28800000</v>
      </c>
      <c r="L21" s="43">
        <f t="shared" si="0"/>
        <v>0.8</v>
      </c>
      <c r="M21" s="55">
        <f t="shared" si="3"/>
        <v>28800000</v>
      </c>
      <c r="N21" s="56">
        <f>H21-K21</f>
        <v>7200000</v>
      </c>
      <c r="O21" s="46">
        <f t="shared" si="1"/>
        <v>0.2</v>
      </c>
    </row>
    <row r="22" spans="1:17" x14ac:dyDescent="0.25">
      <c r="A22" s="47" t="s">
        <v>43</v>
      </c>
      <c r="B22" s="48" t="s">
        <v>44</v>
      </c>
      <c r="C22" s="57">
        <v>0</v>
      </c>
      <c r="D22" s="50"/>
      <c r="E22" s="51"/>
      <c r="F22" s="52"/>
      <c r="G22" s="53"/>
      <c r="H22" s="54">
        <f t="shared" si="2"/>
        <v>0</v>
      </c>
      <c r="I22" s="50"/>
      <c r="J22" s="50"/>
      <c r="K22" s="54">
        <f t="shared" si="5"/>
        <v>0</v>
      </c>
      <c r="L22" s="43" t="e">
        <f t="shared" si="0"/>
        <v>#DIV/0!</v>
      </c>
      <c r="M22" s="55">
        <f t="shared" si="3"/>
        <v>0</v>
      </c>
      <c r="N22" s="56">
        <f>H22-K22</f>
        <v>0</v>
      </c>
      <c r="O22" s="46" t="e">
        <f t="shared" si="1"/>
        <v>#DIV/0!</v>
      </c>
    </row>
    <row r="23" spans="1:17" x14ac:dyDescent="0.25">
      <c r="A23" s="47" t="s">
        <v>45</v>
      </c>
      <c r="B23" s="72" t="s">
        <v>46</v>
      </c>
      <c r="C23" s="49">
        <v>0</v>
      </c>
      <c r="D23" s="50"/>
      <c r="E23" s="51"/>
      <c r="F23" s="73"/>
      <c r="G23" s="53"/>
      <c r="H23" s="54">
        <f t="shared" si="2"/>
        <v>0</v>
      </c>
      <c r="I23" s="50"/>
      <c r="J23" s="58"/>
      <c r="K23" s="54">
        <f t="shared" si="5"/>
        <v>0</v>
      </c>
      <c r="L23" s="43" t="e">
        <f t="shared" si="0"/>
        <v>#DIV/0!</v>
      </c>
      <c r="M23" s="55">
        <f t="shared" si="3"/>
        <v>0</v>
      </c>
      <c r="N23" s="56">
        <f>H23-K23</f>
        <v>0</v>
      </c>
      <c r="O23" s="46" t="e">
        <f t="shared" si="1"/>
        <v>#DIV/0!</v>
      </c>
    </row>
    <row r="24" spans="1:17" ht="15.75" x14ac:dyDescent="0.25">
      <c r="A24" s="38" t="s">
        <v>47</v>
      </c>
      <c r="B24" s="74" t="s">
        <v>48</v>
      </c>
      <c r="C24" s="75">
        <f>C25+C26+C28+C29</f>
        <v>16200000</v>
      </c>
      <c r="D24" s="41"/>
      <c r="E24" s="41">
        <f>E25+E26+E28+E29+E27</f>
        <v>25000000</v>
      </c>
      <c r="F24" s="41">
        <f>F25+F26+F28+F29</f>
        <v>0</v>
      </c>
      <c r="G24" s="42">
        <f>G25+G26+G28+G29</f>
        <v>0</v>
      </c>
      <c r="H24" s="41">
        <f>H25+H26+H28+H29+H27</f>
        <v>41200000</v>
      </c>
      <c r="I24" s="41">
        <f>I25+I26+I28+I29</f>
        <v>10092900</v>
      </c>
      <c r="J24" s="41">
        <f>J25+J26+J27+J28+J29</f>
        <v>1090000</v>
      </c>
      <c r="K24" s="41">
        <f>K25+K26+K28+K29+K27</f>
        <v>20282900</v>
      </c>
      <c r="L24" s="43">
        <f t="shared" si="0"/>
        <v>0.49230339805825241</v>
      </c>
      <c r="M24" s="44">
        <f>J24+I24+M27</f>
        <v>20282900</v>
      </c>
      <c r="N24" s="45">
        <f>SUM(N25:N29)</f>
        <v>20917100</v>
      </c>
      <c r="O24" s="46">
        <f t="shared" si="1"/>
        <v>0.50769660194174759</v>
      </c>
    </row>
    <row r="25" spans="1:17" x14ac:dyDescent="0.25">
      <c r="A25" s="47" t="s">
        <v>49</v>
      </c>
      <c r="B25" s="72" t="s">
        <v>50</v>
      </c>
      <c r="C25" s="49">
        <v>0</v>
      </c>
      <c r="D25" s="50"/>
      <c r="E25" s="51"/>
      <c r="F25" s="52"/>
      <c r="G25" s="53"/>
      <c r="H25" s="54">
        <f t="shared" si="2"/>
        <v>0</v>
      </c>
      <c r="I25" s="50"/>
      <c r="J25" s="58"/>
      <c r="K25" s="54">
        <f t="shared" ref="K25:K62" si="6">SUM(I25:J25)</f>
        <v>0</v>
      </c>
      <c r="L25" s="43" t="e">
        <f t="shared" si="0"/>
        <v>#DIV/0!</v>
      </c>
      <c r="M25" s="44">
        <f t="shared" si="3"/>
        <v>0</v>
      </c>
      <c r="N25" s="56">
        <f>H25-K25</f>
        <v>0</v>
      </c>
      <c r="O25" s="46" t="e">
        <f t="shared" si="1"/>
        <v>#DIV/0!</v>
      </c>
    </row>
    <row r="26" spans="1:17" x14ac:dyDescent="0.25">
      <c r="A26" s="47" t="s">
        <v>51</v>
      </c>
      <c r="B26" s="76" t="s">
        <v>52</v>
      </c>
      <c r="C26" s="49">
        <v>15000000</v>
      </c>
      <c r="D26" s="50"/>
      <c r="E26" s="51"/>
      <c r="F26" s="77"/>
      <c r="G26" s="53"/>
      <c r="H26" s="54">
        <f t="shared" si="2"/>
        <v>15000000</v>
      </c>
      <c r="I26" s="50">
        <f>1204400+2538300+6350200</f>
        <v>10092900</v>
      </c>
      <c r="J26" s="50">
        <v>1090000</v>
      </c>
      <c r="K26" s="54">
        <f t="shared" si="6"/>
        <v>11182900</v>
      </c>
      <c r="L26" s="43">
        <f t="shared" si="0"/>
        <v>0.74552666666666667</v>
      </c>
      <c r="M26" s="55">
        <f t="shared" si="3"/>
        <v>11182900</v>
      </c>
      <c r="N26" s="56">
        <f>H26-K26</f>
        <v>3817100</v>
      </c>
      <c r="O26" s="78">
        <f t="shared" si="1"/>
        <v>0.25447333333333333</v>
      </c>
    </row>
    <row r="27" spans="1:17" x14ac:dyDescent="0.25">
      <c r="A27" s="47">
        <v>45</v>
      </c>
      <c r="B27" s="76" t="s">
        <v>52</v>
      </c>
      <c r="C27" s="49"/>
      <c r="D27" s="50"/>
      <c r="E27" s="51">
        <v>25000000</v>
      </c>
      <c r="F27" s="77"/>
      <c r="G27" s="53"/>
      <c r="H27" s="54">
        <f t="shared" si="2"/>
        <v>25000000</v>
      </c>
      <c r="I27" s="50">
        <f>9100000</f>
        <v>9100000</v>
      </c>
      <c r="J27" s="50"/>
      <c r="K27" s="54">
        <f t="shared" si="6"/>
        <v>9100000</v>
      </c>
      <c r="L27" s="43">
        <f t="shared" si="0"/>
        <v>0.36399999999999999</v>
      </c>
      <c r="M27" s="55">
        <f t="shared" si="3"/>
        <v>9100000</v>
      </c>
      <c r="N27" s="56">
        <f>H27-K27</f>
        <v>15900000</v>
      </c>
      <c r="O27" s="78">
        <f t="shared" si="1"/>
        <v>0.63600000000000001</v>
      </c>
    </row>
    <row r="28" spans="1:17" x14ac:dyDescent="0.25">
      <c r="A28" s="47" t="s">
        <v>53</v>
      </c>
      <c r="B28" s="72" t="s">
        <v>54</v>
      </c>
      <c r="C28" s="57">
        <v>1200000</v>
      </c>
      <c r="D28" s="50"/>
      <c r="E28" s="51"/>
      <c r="F28" s="52"/>
      <c r="G28" s="79"/>
      <c r="H28" s="54">
        <f t="shared" si="2"/>
        <v>1200000</v>
      </c>
      <c r="I28" s="50"/>
      <c r="J28" s="50"/>
      <c r="K28" s="54">
        <f t="shared" si="6"/>
        <v>0</v>
      </c>
      <c r="L28" s="43">
        <f t="shared" si="0"/>
        <v>0</v>
      </c>
      <c r="M28" s="44">
        <f t="shared" si="3"/>
        <v>0</v>
      </c>
      <c r="N28" s="56">
        <f>H28-K28</f>
        <v>1200000</v>
      </c>
      <c r="O28" s="78">
        <f t="shared" si="1"/>
        <v>1</v>
      </c>
    </row>
    <row r="29" spans="1:17" x14ac:dyDescent="0.25">
      <c r="A29" s="47" t="s">
        <v>55</v>
      </c>
      <c r="B29" s="72" t="s">
        <v>56</v>
      </c>
      <c r="C29" s="57">
        <v>0</v>
      </c>
      <c r="D29" s="50"/>
      <c r="E29" s="51"/>
      <c r="F29" s="52"/>
      <c r="G29" s="53"/>
      <c r="H29" s="54">
        <f t="shared" si="2"/>
        <v>0</v>
      </c>
      <c r="I29" s="50"/>
      <c r="J29" s="50"/>
      <c r="K29" s="54">
        <f t="shared" si="6"/>
        <v>0</v>
      </c>
      <c r="L29" s="43" t="e">
        <f t="shared" si="0"/>
        <v>#DIV/0!</v>
      </c>
      <c r="M29" s="44">
        <f t="shared" si="3"/>
        <v>0</v>
      </c>
      <c r="N29" s="56">
        <f>H29-K29</f>
        <v>0</v>
      </c>
      <c r="O29" s="78" t="e">
        <f t="shared" si="1"/>
        <v>#DIV/0!</v>
      </c>
    </row>
    <row r="30" spans="1:17" ht="15.75" x14ac:dyDescent="0.25">
      <c r="A30" s="38" t="s">
        <v>57</v>
      </c>
      <c r="B30" s="74" t="s">
        <v>58</v>
      </c>
      <c r="C30" s="65">
        <f>C31+C33+C35+C36+C37+C38+C39+C40+C41+C42+C43+C44+C45+C46</f>
        <v>103722165</v>
      </c>
      <c r="D30" s="50"/>
      <c r="E30" s="80">
        <f>E31+E33+E35+E36+E37+E38+E39+E40+E41+E42+E43+E44+E45+E46+E32+E34</f>
        <v>58277503</v>
      </c>
      <c r="F30" s="67">
        <f>F31+F33+F35+F36+F37+F38+F39+F40+F41+F42+F43+F44+F45+F46</f>
        <v>16120000</v>
      </c>
      <c r="G30" s="68">
        <f>G31+G33+G35+G36+G37+G38+G39+G40+G41+G42+G43+G44+G45+G46</f>
        <v>2400000</v>
      </c>
      <c r="H30" s="41">
        <f>H31+H33+H35+H36+H37+H38+H39+H40+H41+H42+H43+H44+H45+H46+H32+H34</f>
        <v>175719668</v>
      </c>
      <c r="I30" s="69">
        <f>I31+I33+I35+I36+I37+I38+I39+I40+I41+I42+I43+I44+I45+I46</f>
        <v>45648891</v>
      </c>
      <c r="J30" s="81">
        <f>J31+J32+J33+J34+J35+J36+J37+J38+J39+J40+J41+J42+J43+J44+J45+J46</f>
        <v>14162714</v>
      </c>
      <c r="K30" s="41">
        <f>K31+K33+K35+K36+K37+K38+K39+K40+K41+K42+K43+K44+K45+K32+K34</f>
        <v>73712486</v>
      </c>
      <c r="L30" s="43">
        <f t="shared" si="0"/>
        <v>0.41948910351913482</v>
      </c>
      <c r="M30" s="44">
        <f>M31+M33+M35+M36+M37+M38+M39+M40+M41+M42+M43+M44+M45+M46+M32+M34</f>
        <v>73712486</v>
      </c>
      <c r="N30" s="70">
        <f>SUM(N31:N46)</f>
        <v>102007182</v>
      </c>
      <c r="O30" s="78">
        <f t="shared" si="1"/>
        <v>0.58051089648086518</v>
      </c>
    </row>
    <row r="31" spans="1:17" x14ac:dyDescent="0.25">
      <c r="A31" s="47" t="s">
        <v>59</v>
      </c>
      <c r="B31" s="72" t="s">
        <v>60</v>
      </c>
      <c r="C31" s="49">
        <v>5000000</v>
      </c>
      <c r="D31" s="50"/>
      <c r="E31" s="51"/>
      <c r="F31" s="52">
        <f>5000000+1000000</f>
        <v>6000000</v>
      </c>
      <c r="G31" s="53"/>
      <c r="H31" s="54">
        <f t="shared" si="2"/>
        <v>11000000</v>
      </c>
      <c r="I31" s="50">
        <f>1000000+9000000+998300</f>
        <v>10998300</v>
      </c>
      <c r="J31" s="50"/>
      <c r="K31" s="54">
        <f t="shared" si="6"/>
        <v>10998300</v>
      </c>
      <c r="L31" s="43">
        <f t="shared" si="0"/>
        <v>0.99984545454545459</v>
      </c>
      <c r="M31" s="55">
        <f t="shared" si="3"/>
        <v>10998300</v>
      </c>
      <c r="N31" s="56">
        <f t="shared" ref="N31:N44" si="7">H31-K31</f>
        <v>1700</v>
      </c>
      <c r="O31" s="78">
        <f t="shared" si="1"/>
        <v>1.5454545454545454E-4</v>
      </c>
    </row>
    <row r="32" spans="1:17" x14ac:dyDescent="0.25">
      <c r="A32" s="47">
        <v>45</v>
      </c>
      <c r="B32" s="72" t="s">
        <v>60</v>
      </c>
      <c r="C32" s="49"/>
      <c r="D32" s="50"/>
      <c r="E32" s="51">
        <v>15000000</v>
      </c>
      <c r="F32" s="52"/>
      <c r="G32" s="53"/>
      <c r="H32" s="54">
        <f t="shared" si="2"/>
        <v>15000000</v>
      </c>
      <c r="I32" s="50">
        <f>2274498</f>
        <v>2274498</v>
      </c>
      <c r="J32" s="50">
        <v>990600</v>
      </c>
      <c r="K32" s="54">
        <f t="shared" si="6"/>
        <v>3265098</v>
      </c>
      <c r="L32" s="43">
        <f t="shared" si="0"/>
        <v>0.21767320000000001</v>
      </c>
      <c r="M32" s="55">
        <f t="shared" si="3"/>
        <v>3265098</v>
      </c>
      <c r="N32" s="56">
        <f t="shared" si="7"/>
        <v>11734902</v>
      </c>
      <c r="O32" s="78"/>
    </row>
    <row r="33" spans="1:15" x14ac:dyDescent="0.25">
      <c r="A33" s="47" t="s">
        <v>61</v>
      </c>
      <c r="B33" s="72" t="s">
        <v>62</v>
      </c>
      <c r="C33" s="49">
        <v>20000000</v>
      </c>
      <c r="D33" s="50"/>
      <c r="E33" s="51">
        <v>5682459</v>
      </c>
      <c r="F33" s="52">
        <v>8720000</v>
      </c>
      <c r="G33" s="53"/>
      <c r="H33" s="54">
        <f t="shared" si="2"/>
        <v>34402459</v>
      </c>
      <c r="I33" s="50">
        <f>9734922+7162378+2760244</f>
        <v>19657544</v>
      </c>
      <c r="J33" s="50">
        <v>8688210</v>
      </c>
      <c r="K33" s="54">
        <f t="shared" si="6"/>
        <v>28345754</v>
      </c>
      <c r="L33" s="43">
        <f t="shared" si="0"/>
        <v>0.82394557900643095</v>
      </c>
      <c r="M33" s="55">
        <f t="shared" si="3"/>
        <v>28345754</v>
      </c>
      <c r="N33" s="56">
        <f t="shared" si="7"/>
        <v>6056705</v>
      </c>
      <c r="O33" s="78">
        <f t="shared" si="1"/>
        <v>0.17605442099356911</v>
      </c>
    </row>
    <row r="34" spans="1:15" x14ac:dyDescent="0.25">
      <c r="A34" s="47">
        <v>45</v>
      </c>
      <c r="B34" s="72" t="s">
        <v>63</v>
      </c>
      <c r="C34" s="49"/>
      <c r="D34" s="50"/>
      <c r="E34" s="51">
        <v>37595044</v>
      </c>
      <c r="F34" s="52"/>
      <c r="G34" s="53"/>
      <c r="H34" s="54">
        <f t="shared" si="2"/>
        <v>37595044</v>
      </c>
      <c r="I34" s="50">
        <f>11626383</f>
        <v>11626383</v>
      </c>
      <c r="J34" s="50"/>
      <c r="K34" s="54">
        <f t="shared" si="6"/>
        <v>11626383</v>
      </c>
      <c r="L34" s="43"/>
      <c r="M34" s="55">
        <f t="shared" si="3"/>
        <v>11626383</v>
      </c>
      <c r="N34" s="56">
        <f t="shared" si="7"/>
        <v>25968661</v>
      </c>
      <c r="O34" s="78">
        <f t="shared" si="1"/>
        <v>0.69074692398285265</v>
      </c>
    </row>
    <row r="35" spans="1:15" x14ac:dyDescent="0.25">
      <c r="A35" s="47" t="s">
        <v>64</v>
      </c>
      <c r="B35" s="72" t="s">
        <v>65</v>
      </c>
      <c r="C35" s="49">
        <v>4400000</v>
      </c>
      <c r="D35" s="50"/>
      <c r="E35" s="51"/>
      <c r="F35" s="52"/>
      <c r="G35" s="53"/>
      <c r="H35" s="54">
        <f t="shared" si="2"/>
        <v>4400000</v>
      </c>
      <c r="I35" s="50">
        <f>400000+250600+363400+325800</f>
        <v>1339800</v>
      </c>
      <c r="J35" s="50">
        <v>309800</v>
      </c>
      <c r="K35" s="54">
        <f t="shared" si="6"/>
        <v>1649600</v>
      </c>
      <c r="L35" s="43">
        <f t="shared" si="0"/>
        <v>0.37490909090909091</v>
      </c>
      <c r="M35" s="55">
        <f t="shared" si="3"/>
        <v>1649600</v>
      </c>
      <c r="N35" s="56">
        <f t="shared" si="7"/>
        <v>2750400</v>
      </c>
      <c r="O35" s="78">
        <f t="shared" si="1"/>
        <v>0.62509090909090914</v>
      </c>
    </row>
    <row r="36" spans="1:15" x14ac:dyDescent="0.25">
      <c r="A36" s="47" t="s">
        <v>66</v>
      </c>
      <c r="B36" s="72" t="s">
        <v>67</v>
      </c>
      <c r="C36" s="57">
        <v>10000000</v>
      </c>
      <c r="D36" s="50"/>
      <c r="E36" s="51"/>
      <c r="F36" s="52"/>
      <c r="G36" s="53"/>
      <c r="H36" s="54">
        <f t="shared" si="2"/>
        <v>10000000</v>
      </c>
      <c r="I36" s="50">
        <f>1710200+2045800</f>
        <v>3756000</v>
      </c>
      <c r="J36" s="58">
        <v>452900</v>
      </c>
      <c r="K36" s="54">
        <f t="shared" si="6"/>
        <v>4208900</v>
      </c>
      <c r="L36" s="43">
        <f t="shared" si="0"/>
        <v>0.42088999999999999</v>
      </c>
      <c r="M36" s="55">
        <f t="shared" si="3"/>
        <v>4208900</v>
      </c>
      <c r="N36" s="56">
        <f t="shared" si="7"/>
        <v>5791100</v>
      </c>
      <c r="O36" s="46">
        <f t="shared" si="1"/>
        <v>0.57911000000000001</v>
      </c>
    </row>
    <row r="37" spans="1:15" x14ac:dyDescent="0.25">
      <c r="A37" s="47" t="s">
        <v>68</v>
      </c>
      <c r="B37" s="72" t="s">
        <v>69</v>
      </c>
      <c r="C37" s="57">
        <v>4800000</v>
      </c>
      <c r="D37" s="50"/>
      <c r="E37" s="51"/>
      <c r="F37" s="52"/>
      <c r="G37" s="53"/>
      <c r="H37" s="54">
        <f t="shared" si="2"/>
        <v>4800000</v>
      </c>
      <c r="I37" s="50">
        <f>338503+219982+897020+803062</f>
        <v>2258567</v>
      </c>
      <c r="J37" s="58">
        <v>477179</v>
      </c>
      <c r="K37" s="54">
        <f t="shared" si="6"/>
        <v>2735746</v>
      </c>
      <c r="L37" s="43">
        <f t="shared" si="0"/>
        <v>0.56994708333333333</v>
      </c>
      <c r="M37" s="55">
        <f t="shared" si="3"/>
        <v>2735746</v>
      </c>
      <c r="N37" s="56">
        <f t="shared" si="7"/>
        <v>2064254</v>
      </c>
      <c r="O37" s="46">
        <f t="shared" si="1"/>
        <v>0.43005291666666667</v>
      </c>
    </row>
    <row r="38" spans="1:15" x14ac:dyDescent="0.25">
      <c r="A38" s="47" t="s">
        <v>70</v>
      </c>
      <c r="B38" s="72" t="s">
        <v>71</v>
      </c>
      <c r="C38" s="57">
        <v>3200000</v>
      </c>
      <c r="D38" s="50"/>
      <c r="E38" s="51"/>
      <c r="F38" s="52"/>
      <c r="G38" s="53"/>
      <c r="H38" s="54">
        <f t="shared" si="2"/>
        <v>3200000</v>
      </c>
      <c r="I38" s="50">
        <f>398350</f>
        <v>398350</v>
      </c>
      <c r="J38" s="58"/>
      <c r="K38" s="54">
        <f t="shared" si="6"/>
        <v>398350</v>
      </c>
      <c r="L38" s="43">
        <f t="shared" si="0"/>
        <v>0.12448437499999999</v>
      </c>
      <c r="M38" s="55">
        <f t="shared" si="3"/>
        <v>398350</v>
      </c>
      <c r="N38" s="56">
        <f t="shared" si="7"/>
        <v>2801650</v>
      </c>
      <c r="O38" s="46">
        <v>0</v>
      </c>
    </row>
    <row r="39" spans="1:15" ht="14.25" customHeight="1" x14ac:dyDescent="0.25">
      <c r="A39" s="47" t="s">
        <v>72</v>
      </c>
      <c r="B39" s="76" t="s">
        <v>73</v>
      </c>
      <c r="C39" s="57">
        <v>3822165</v>
      </c>
      <c r="D39" s="50"/>
      <c r="E39" s="51"/>
      <c r="F39" s="52"/>
      <c r="G39" s="53"/>
      <c r="H39" s="54">
        <f t="shared" si="2"/>
        <v>3822165</v>
      </c>
      <c r="I39" s="50"/>
      <c r="J39" s="50"/>
      <c r="K39" s="54">
        <f t="shared" si="6"/>
        <v>0</v>
      </c>
      <c r="L39" s="43">
        <f t="shared" si="0"/>
        <v>0</v>
      </c>
      <c r="M39" s="55">
        <f t="shared" si="3"/>
        <v>0</v>
      </c>
      <c r="N39" s="56">
        <f t="shared" si="7"/>
        <v>3822165</v>
      </c>
      <c r="O39" s="46">
        <f t="shared" ref="O39:O49" si="8">N39/H39</f>
        <v>1</v>
      </c>
    </row>
    <row r="40" spans="1:15" x14ac:dyDescent="0.25">
      <c r="A40" s="47" t="s">
        <v>74</v>
      </c>
      <c r="B40" s="72" t="s">
        <v>75</v>
      </c>
      <c r="C40" s="57">
        <v>0</v>
      </c>
      <c r="D40" s="50"/>
      <c r="E40" s="51"/>
      <c r="F40" s="52">
        <v>1400000</v>
      </c>
      <c r="G40" s="53"/>
      <c r="H40" s="54">
        <f t="shared" si="2"/>
        <v>1400000</v>
      </c>
      <c r="I40" s="50">
        <f>1400000</f>
        <v>1400000</v>
      </c>
      <c r="J40" s="50"/>
      <c r="K40" s="54">
        <f t="shared" si="6"/>
        <v>1400000</v>
      </c>
      <c r="L40" s="43">
        <f t="shared" si="0"/>
        <v>1</v>
      </c>
      <c r="M40" s="55">
        <f t="shared" si="3"/>
        <v>1400000</v>
      </c>
      <c r="N40" s="56">
        <f t="shared" si="7"/>
        <v>0</v>
      </c>
      <c r="O40" s="46">
        <f t="shared" si="8"/>
        <v>0</v>
      </c>
    </row>
    <row r="41" spans="1:15" x14ac:dyDescent="0.25">
      <c r="A41" s="47" t="s">
        <v>76</v>
      </c>
      <c r="B41" s="72" t="s">
        <v>77</v>
      </c>
      <c r="C41" s="57">
        <v>13000000</v>
      </c>
      <c r="D41" s="50"/>
      <c r="E41" s="51"/>
      <c r="F41" s="52"/>
      <c r="G41" s="53">
        <v>2400000</v>
      </c>
      <c r="H41" s="54">
        <f t="shared" si="2"/>
        <v>10600000</v>
      </c>
      <c r="I41" s="50">
        <f>5260330</f>
        <v>5260330</v>
      </c>
      <c r="J41" s="50">
        <v>1726025</v>
      </c>
      <c r="K41" s="54">
        <f t="shared" si="6"/>
        <v>6986355</v>
      </c>
      <c r="L41" s="43">
        <f t="shared" si="0"/>
        <v>0.65909009433962262</v>
      </c>
      <c r="M41" s="55">
        <f t="shared" si="3"/>
        <v>6986355</v>
      </c>
      <c r="N41" s="56">
        <f t="shared" si="7"/>
        <v>3613645</v>
      </c>
      <c r="O41" s="46">
        <f t="shared" si="8"/>
        <v>0.34090990566037738</v>
      </c>
    </row>
    <row r="42" spans="1:15" x14ac:dyDescent="0.25">
      <c r="A42" s="47" t="s">
        <v>78</v>
      </c>
      <c r="B42" s="76" t="s">
        <v>79</v>
      </c>
      <c r="C42" s="57">
        <v>17500000</v>
      </c>
      <c r="D42" s="50"/>
      <c r="E42" s="51"/>
      <c r="F42" s="52"/>
      <c r="G42" s="53"/>
      <c r="H42" s="54">
        <f t="shared" si="2"/>
        <v>17500000</v>
      </c>
      <c r="I42" s="50"/>
      <c r="J42" s="50"/>
      <c r="K42" s="54">
        <f t="shared" si="6"/>
        <v>0</v>
      </c>
      <c r="L42" s="43">
        <f t="shared" si="0"/>
        <v>0</v>
      </c>
      <c r="M42" s="55">
        <f t="shared" si="3"/>
        <v>0</v>
      </c>
      <c r="N42" s="56">
        <f t="shared" si="7"/>
        <v>17500000</v>
      </c>
      <c r="O42" s="78">
        <f t="shared" si="8"/>
        <v>1</v>
      </c>
    </row>
    <row r="43" spans="1:15" x14ac:dyDescent="0.25">
      <c r="A43" s="47" t="s">
        <v>80</v>
      </c>
      <c r="B43" s="72" t="s">
        <v>81</v>
      </c>
      <c r="C43" s="57">
        <v>3000000</v>
      </c>
      <c r="D43" s="50"/>
      <c r="E43" s="51"/>
      <c r="F43" s="52"/>
      <c r="G43" s="53"/>
      <c r="H43" s="54">
        <f t="shared" si="2"/>
        <v>3000000</v>
      </c>
      <c r="I43" s="50">
        <f>580000</f>
        <v>580000</v>
      </c>
      <c r="J43" s="50">
        <v>1518000</v>
      </c>
      <c r="K43" s="54">
        <f t="shared" si="6"/>
        <v>2098000</v>
      </c>
      <c r="L43" s="43">
        <f t="shared" si="0"/>
        <v>0.69933333333333336</v>
      </c>
      <c r="M43" s="55">
        <f t="shared" si="3"/>
        <v>2098000</v>
      </c>
      <c r="N43" s="56">
        <f t="shared" si="7"/>
        <v>902000</v>
      </c>
      <c r="O43" s="78">
        <f t="shared" si="8"/>
        <v>0.30066666666666669</v>
      </c>
    </row>
    <row r="44" spans="1:15" x14ac:dyDescent="0.25">
      <c r="A44" s="47" t="s">
        <v>82</v>
      </c>
      <c r="B44" s="72" t="s">
        <v>83</v>
      </c>
      <c r="C44" s="57">
        <v>19000000</v>
      </c>
      <c r="D44" s="50"/>
      <c r="E44" s="51"/>
      <c r="F44" s="52"/>
      <c r="G44" s="53"/>
      <c r="H44" s="54">
        <f t="shared" si="2"/>
        <v>19000000</v>
      </c>
      <c r="I44" s="50"/>
      <c r="J44" s="50"/>
      <c r="K44" s="54">
        <f t="shared" si="6"/>
        <v>0</v>
      </c>
      <c r="L44" s="43">
        <f t="shared" si="0"/>
        <v>0</v>
      </c>
      <c r="M44" s="55">
        <f t="shared" si="3"/>
        <v>0</v>
      </c>
      <c r="N44" s="56">
        <f t="shared" si="7"/>
        <v>19000000</v>
      </c>
      <c r="O44" s="46">
        <f t="shared" si="8"/>
        <v>1</v>
      </c>
    </row>
    <row r="45" spans="1:15" x14ac:dyDescent="0.25">
      <c r="A45" s="47" t="s">
        <v>84</v>
      </c>
      <c r="B45" s="72" t="s">
        <v>85</v>
      </c>
      <c r="C45" s="57"/>
      <c r="D45" s="50"/>
      <c r="E45" s="51"/>
      <c r="F45" s="52"/>
      <c r="G45" s="53"/>
      <c r="H45" s="54">
        <f t="shared" si="2"/>
        <v>0</v>
      </c>
      <c r="I45" s="50"/>
      <c r="J45" s="50"/>
      <c r="K45" s="54">
        <f t="shared" si="6"/>
        <v>0</v>
      </c>
      <c r="L45" s="43" t="e">
        <f>K45/H45</f>
        <v>#DIV/0!</v>
      </c>
      <c r="M45" s="55">
        <f t="shared" si="3"/>
        <v>0</v>
      </c>
      <c r="N45" s="56">
        <f>H45-K45</f>
        <v>0</v>
      </c>
      <c r="O45" s="46" t="e">
        <f t="shared" si="8"/>
        <v>#DIV/0!</v>
      </c>
    </row>
    <row r="46" spans="1:15" x14ac:dyDescent="0.25">
      <c r="A46" s="47" t="s">
        <v>86</v>
      </c>
      <c r="B46" s="72" t="s">
        <v>87</v>
      </c>
      <c r="C46" s="57">
        <v>0</v>
      </c>
      <c r="D46" s="50"/>
      <c r="E46" s="51"/>
      <c r="F46" s="52"/>
      <c r="G46" s="53"/>
      <c r="H46" s="54">
        <f t="shared" si="2"/>
        <v>0</v>
      </c>
      <c r="I46" s="50"/>
      <c r="J46" s="50"/>
      <c r="K46" s="54">
        <f t="shared" si="6"/>
        <v>0</v>
      </c>
      <c r="L46" s="43" t="e">
        <f>K46/H46</f>
        <v>#DIV/0!</v>
      </c>
      <c r="M46" s="55">
        <f t="shared" si="3"/>
        <v>0</v>
      </c>
      <c r="N46" s="56">
        <f>H46-K46</f>
        <v>0</v>
      </c>
      <c r="O46" s="46" t="e">
        <f t="shared" si="8"/>
        <v>#DIV/0!</v>
      </c>
    </row>
    <row r="47" spans="1:15" ht="15.75" x14ac:dyDescent="0.25">
      <c r="A47" s="38" t="s">
        <v>88</v>
      </c>
      <c r="B47" s="74" t="s">
        <v>89</v>
      </c>
      <c r="C47" s="65">
        <f>C48+C49+C50+C51</f>
        <v>90200000</v>
      </c>
      <c r="D47" s="50"/>
      <c r="E47" s="66">
        <f t="shared" ref="E47:K47" si="9">E48+E49+E50+E51</f>
        <v>0</v>
      </c>
      <c r="F47" s="82">
        <f t="shared" si="9"/>
        <v>0</v>
      </c>
      <c r="G47" s="68">
        <f t="shared" si="9"/>
        <v>0</v>
      </c>
      <c r="H47" s="41">
        <f t="shared" si="9"/>
        <v>90200000</v>
      </c>
      <c r="I47" s="69">
        <f t="shared" si="9"/>
        <v>32560500</v>
      </c>
      <c r="J47" s="81">
        <f t="shared" si="9"/>
        <v>6543558</v>
      </c>
      <c r="K47" s="41">
        <f t="shared" si="9"/>
        <v>39104058</v>
      </c>
      <c r="L47" s="43">
        <f t="shared" si="0"/>
        <v>0.43352614190687361</v>
      </c>
      <c r="M47" s="44">
        <f t="shared" si="3"/>
        <v>39104058</v>
      </c>
      <c r="N47" s="70">
        <f>SUM(N48:N51)</f>
        <v>51095942</v>
      </c>
      <c r="O47" s="46">
        <f t="shared" si="8"/>
        <v>0.56647385809312634</v>
      </c>
    </row>
    <row r="48" spans="1:15" x14ac:dyDescent="0.25">
      <c r="A48" s="47" t="s">
        <v>90</v>
      </c>
      <c r="B48" s="72" t="s">
        <v>91</v>
      </c>
      <c r="C48" s="49">
        <v>23000000</v>
      </c>
      <c r="D48" s="50"/>
      <c r="E48" s="51"/>
      <c r="F48" s="52"/>
      <c r="G48" s="53"/>
      <c r="H48" s="54">
        <f t="shared" si="2"/>
        <v>23000000</v>
      </c>
      <c r="I48" s="50">
        <f>6548183+2078465</f>
        <v>8626648</v>
      </c>
      <c r="J48" s="50"/>
      <c r="K48" s="54">
        <f t="shared" si="6"/>
        <v>8626648</v>
      </c>
      <c r="L48" s="43">
        <f t="shared" si="0"/>
        <v>0.37507165217391303</v>
      </c>
      <c r="M48" s="55">
        <f t="shared" si="3"/>
        <v>8626648</v>
      </c>
      <c r="N48" s="56">
        <f>H48-K48</f>
        <v>14373352</v>
      </c>
      <c r="O48" s="46">
        <f t="shared" si="8"/>
        <v>0.62492834782608697</v>
      </c>
    </row>
    <row r="49" spans="1:17" x14ac:dyDescent="0.25">
      <c r="A49" s="47" t="s">
        <v>92</v>
      </c>
      <c r="B49" s="72" t="s">
        <v>93</v>
      </c>
      <c r="C49" s="49">
        <v>33200000</v>
      </c>
      <c r="D49" s="50"/>
      <c r="E49" s="51"/>
      <c r="F49" s="52"/>
      <c r="G49" s="53"/>
      <c r="H49" s="54">
        <f t="shared" si="2"/>
        <v>33200000</v>
      </c>
      <c r="I49" s="50">
        <f>2490889+2551110+2702621+2952111</f>
        <v>10696731</v>
      </c>
      <c r="J49" s="58">
        <v>2915439</v>
      </c>
      <c r="K49" s="54">
        <f t="shared" si="6"/>
        <v>13612170</v>
      </c>
      <c r="L49" s="43">
        <f t="shared" si="0"/>
        <v>0.41000512048192772</v>
      </c>
      <c r="M49" s="55">
        <f t="shared" si="3"/>
        <v>13612170</v>
      </c>
      <c r="N49" s="56">
        <f>H49-K49</f>
        <v>19587830</v>
      </c>
      <c r="O49" s="46">
        <f t="shared" si="8"/>
        <v>0.58999487951807228</v>
      </c>
      <c r="Q49" s="61"/>
    </row>
    <row r="50" spans="1:17" x14ac:dyDescent="0.25">
      <c r="A50" s="59">
        <v>2020110304</v>
      </c>
      <c r="B50" s="72" t="s">
        <v>94</v>
      </c>
      <c r="C50" s="49">
        <v>31000000</v>
      </c>
      <c r="D50" s="50"/>
      <c r="E50" s="51"/>
      <c r="F50" s="52"/>
      <c r="G50" s="53"/>
      <c r="H50" s="54">
        <f t="shared" si="2"/>
        <v>31000000</v>
      </c>
      <c r="I50" s="50">
        <f>3063924+3148942+3327671+3696584</f>
        <v>13237121</v>
      </c>
      <c r="J50" s="58">
        <v>3628119</v>
      </c>
      <c r="K50" s="54">
        <f t="shared" si="6"/>
        <v>16865240</v>
      </c>
      <c r="L50" s="43">
        <f t="shared" si="0"/>
        <v>0.54403999999999997</v>
      </c>
      <c r="M50" s="55">
        <f t="shared" si="3"/>
        <v>16865240</v>
      </c>
      <c r="N50" s="56">
        <f>H50-K50</f>
        <v>14134760</v>
      </c>
      <c r="O50" s="46">
        <v>0</v>
      </c>
      <c r="Q50" s="61"/>
    </row>
    <row r="51" spans="1:17" x14ac:dyDescent="0.25">
      <c r="A51" s="59">
        <v>2020110305</v>
      </c>
      <c r="B51" s="72" t="s">
        <v>95</v>
      </c>
      <c r="C51" s="57">
        <v>3000000</v>
      </c>
      <c r="D51" s="41"/>
      <c r="E51" s="41"/>
      <c r="F51" s="41"/>
      <c r="G51" s="83"/>
      <c r="H51" s="54">
        <f t="shared" si="2"/>
        <v>3000000</v>
      </c>
      <c r="I51" s="54"/>
      <c r="J51" s="54"/>
      <c r="K51" s="54">
        <f t="shared" si="6"/>
        <v>0</v>
      </c>
      <c r="L51" s="43">
        <f t="shared" si="0"/>
        <v>0</v>
      </c>
      <c r="M51" s="55">
        <f t="shared" si="3"/>
        <v>0</v>
      </c>
      <c r="N51" s="56">
        <f>H51-K51</f>
        <v>3000000</v>
      </c>
      <c r="O51" s="46" t="e">
        <f>#REF!/H51</f>
        <v>#REF!</v>
      </c>
      <c r="Q51" s="61"/>
    </row>
    <row r="52" spans="1:17" ht="15.75" x14ac:dyDescent="0.25">
      <c r="A52" s="38" t="s">
        <v>96</v>
      </c>
      <c r="B52" s="74" t="s">
        <v>97</v>
      </c>
      <c r="C52" s="65">
        <f>C53+C54+C55+C56+C57+C58+C59+C60+C61+C62</f>
        <v>87162109</v>
      </c>
      <c r="D52" s="50"/>
      <c r="E52" s="84">
        <f>E53</f>
        <v>0</v>
      </c>
      <c r="F52" s="85">
        <f>F53+F54+F55+F56+F57+F58+F59+F60+F61+F62</f>
        <v>0</v>
      </c>
      <c r="G52" s="53"/>
      <c r="H52" s="41">
        <f>H53+H54+H55+H56+H57+H58+H59+H60+H61+H62</f>
        <v>87162109</v>
      </c>
      <c r="I52" s="69">
        <f>I53+I54+I55+I56+I57+I58+I59+I60+I61+I62</f>
        <v>20090327</v>
      </c>
      <c r="J52" s="81">
        <f>J53+J54+J55+J56+J57+J58+J59+J60+J61+J62</f>
        <v>7802682</v>
      </c>
      <c r="K52" s="41">
        <f t="shared" si="6"/>
        <v>27893009</v>
      </c>
      <c r="L52" s="43">
        <f t="shared" si="0"/>
        <v>0.32001301161723839</v>
      </c>
      <c r="M52" s="44">
        <f t="shared" si="3"/>
        <v>27893009</v>
      </c>
      <c r="N52" s="70">
        <f>SUM(N53:N62)</f>
        <v>59269100</v>
      </c>
      <c r="O52" s="46">
        <f t="shared" ref="O52:O63" si="10">N52/H52</f>
        <v>0.67998698838276161</v>
      </c>
      <c r="Q52" s="61"/>
    </row>
    <row r="53" spans="1:17" x14ac:dyDescent="0.25">
      <c r="A53" s="47" t="s">
        <v>98</v>
      </c>
      <c r="B53" s="72" t="s">
        <v>99</v>
      </c>
      <c r="C53" s="49">
        <v>21000000</v>
      </c>
      <c r="D53" s="50"/>
      <c r="E53" s="51"/>
      <c r="F53" s="52"/>
      <c r="G53" s="53"/>
      <c r="H53" s="54">
        <f t="shared" si="2"/>
        <v>21000000</v>
      </c>
      <c r="I53" s="50">
        <f>1686112+1875246+2249824+2151345</f>
        <v>7962527</v>
      </c>
      <c r="J53" s="58">
        <v>2649865</v>
      </c>
      <c r="K53" s="54">
        <f t="shared" si="6"/>
        <v>10612392</v>
      </c>
      <c r="L53" s="43">
        <f t="shared" si="0"/>
        <v>0.50535200000000002</v>
      </c>
      <c r="M53" s="55">
        <f t="shared" si="3"/>
        <v>10612392</v>
      </c>
      <c r="N53" s="56">
        <f t="shared" ref="N53:N62" si="11">H53-K53</f>
        <v>10387608</v>
      </c>
      <c r="O53" s="46">
        <f t="shared" si="10"/>
        <v>0.49464799999999998</v>
      </c>
      <c r="Q53" s="61"/>
    </row>
    <row r="54" spans="1:17" x14ac:dyDescent="0.25">
      <c r="A54" s="47" t="s">
        <v>100</v>
      </c>
      <c r="B54" s="72" t="s">
        <v>93</v>
      </c>
      <c r="C54" s="49">
        <v>0</v>
      </c>
      <c r="D54" s="50"/>
      <c r="E54" s="51"/>
      <c r="F54" s="52"/>
      <c r="G54" s="53"/>
      <c r="H54" s="54">
        <f t="shared" si="2"/>
        <v>0</v>
      </c>
      <c r="I54" s="50"/>
      <c r="J54" s="50"/>
      <c r="K54" s="54">
        <f t="shared" si="6"/>
        <v>0</v>
      </c>
      <c r="L54" s="43" t="e">
        <f t="shared" si="0"/>
        <v>#DIV/0!</v>
      </c>
      <c r="M54" s="44">
        <f t="shared" si="3"/>
        <v>0</v>
      </c>
      <c r="N54" s="56">
        <f t="shared" si="11"/>
        <v>0</v>
      </c>
      <c r="O54" s="46" t="e">
        <f t="shared" si="10"/>
        <v>#DIV/0!</v>
      </c>
      <c r="Q54" s="61"/>
    </row>
    <row r="55" spans="1:17" x14ac:dyDescent="0.25">
      <c r="A55" s="47" t="s">
        <v>101</v>
      </c>
      <c r="B55" s="72" t="s">
        <v>102</v>
      </c>
      <c r="C55" s="49">
        <v>2300000</v>
      </c>
      <c r="D55" s="50"/>
      <c r="E55" s="51"/>
      <c r="F55" s="52"/>
      <c r="G55" s="53"/>
      <c r="H55" s="54">
        <f t="shared" si="2"/>
        <v>2300000</v>
      </c>
      <c r="I55" s="50">
        <f>206100+206500+223100+234100</f>
        <v>869800</v>
      </c>
      <c r="J55" s="58">
        <v>233000</v>
      </c>
      <c r="K55" s="54">
        <f t="shared" si="6"/>
        <v>1102800</v>
      </c>
      <c r="L55" s="43">
        <f t="shared" si="0"/>
        <v>0.47947826086956524</v>
      </c>
      <c r="M55" s="55">
        <f t="shared" si="3"/>
        <v>1102800</v>
      </c>
      <c r="N55" s="56">
        <f t="shared" si="11"/>
        <v>1197200</v>
      </c>
      <c r="O55" s="46">
        <f t="shared" si="10"/>
        <v>0.52052173913043476</v>
      </c>
      <c r="Q55" s="61"/>
    </row>
    <row r="56" spans="1:17" x14ac:dyDescent="0.25">
      <c r="A56" s="47" t="s">
        <v>103</v>
      </c>
      <c r="B56" s="72" t="s">
        <v>94</v>
      </c>
      <c r="C56" s="57">
        <v>18262109</v>
      </c>
      <c r="D56" s="50"/>
      <c r="E56" s="51"/>
      <c r="F56" s="52"/>
      <c r="G56" s="53"/>
      <c r="H56" s="54">
        <f t="shared" si="2"/>
        <v>18262109</v>
      </c>
      <c r="I56" s="50"/>
      <c r="J56" s="86"/>
      <c r="K56" s="54">
        <f t="shared" si="6"/>
        <v>0</v>
      </c>
      <c r="L56" s="43">
        <f t="shared" si="0"/>
        <v>0</v>
      </c>
      <c r="M56" s="55">
        <f t="shared" si="3"/>
        <v>0</v>
      </c>
      <c r="N56" s="56">
        <f t="shared" si="11"/>
        <v>18262109</v>
      </c>
      <c r="O56" s="46">
        <f t="shared" si="10"/>
        <v>1</v>
      </c>
      <c r="Q56" s="61"/>
    </row>
    <row r="57" spans="1:17" x14ac:dyDescent="0.25">
      <c r="A57" s="47" t="s">
        <v>104</v>
      </c>
      <c r="B57" s="72" t="s">
        <v>105</v>
      </c>
      <c r="C57" s="57">
        <v>19000000</v>
      </c>
      <c r="D57" s="50"/>
      <c r="E57" s="51"/>
      <c r="F57" s="52"/>
      <c r="G57" s="53"/>
      <c r="H57" s="54">
        <f t="shared" si="2"/>
        <v>19000000</v>
      </c>
      <c r="I57" s="50">
        <f>1173300+1202400+1272000+1356400</f>
        <v>5004100</v>
      </c>
      <c r="J57" s="58">
        <v>3236217</v>
      </c>
      <c r="K57" s="54">
        <f t="shared" si="6"/>
        <v>8240317</v>
      </c>
      <c r="L57" s="43">
        <f t="shared" si="0"/>
        <v>0.43370089473684209</v>
      </c>
      <c r="M57" s="55">
        <f t="shared" si="3"/>
        <v>8240317</v>
      </c>
      <c r="N57" s="56">
        <f t="shared" si="11"/>
        <v>10759683</v>
      </c>
      <c r="O57" s="46">
        <f t="shared" si="10"/>
        <v>0.56629910526315785</v>
      </c>
      <c r="Q57" s="61"/>
    </row>
    <row r="58" spans="1:17" x14ac:dyDescent="0.25">
      <c r="A58" s="47" t="s">
        <v>106</v>
      </c>
      <c r="B58" s="72" t="s">
        <v>107</v>
      </c>
      <c r="C58" s="57">
        <v>17000000</v>
      </c>
      <c r="D58" s="50"/>
      <c r="E58" s="51"/>
      <c r="F58" s="52"/>
      <c r="G58" s="53"/>
      <c r="H58" s="54">
        <f t="shared" si="2"/>
        <v>17000000</v>
      </c>
      <c r="I58" s="50">
        <f>880000+901700+953700+1017000</f>
        <v>3752400</v>
      </c>
      <c r="J58" s="58">
        <v>1010100</v>
      </c>
      <c r="K58" s="54">
        <f t="shared" si="6"/>
        <v>4762500</v>
      </c>
      <c r="L58" s="43">
        <f t="shared" si="0"/>
        <v>0.28014705882352942</v>
      </c>
      <c r="M58" s="55">
        <f t="shared" si="3"/>
        <v>4762500</v>
      </c>
      <c r="N58" s="56">
        <f t="shared" si="11"/>
        <v>12237500</v>
      </c>
      <c r="O58" s="46">
        <f t="shared" si="10"/>
        <v>0.71985294117647058</v>
      </c>
      <c r="Q58" s="61"/>
    </row>
    <row r="59" spans="1:17" x14ac:dyDescent="0.25">
      <c r="A59" s="47" t="s">
        <v>108</v>
      </c>
      <c r="B59" s="72" t="s">
        <v>109</v>
      </c>
      <c r="C59" s="57">
        <v>2400000</v>
      </c>
      <c r="D59" s="50"/>
      <c r="E59" s="51"/>
      <c r="F59" s="52"/>
      <c r="G59" s="53"/>
      <c r="H59" s="54">
        <f t="shared" si="2"/>
        <v>2400000</v>
      </c>
      <c r="I59" s="50">
        <f>146700+150300+159000+169600</f>
        <v>625600</v>
      </c>
      <c r="J59" s="58">
        <v>168500</v>
      </c>
      <c r="K59" s="54">
        <f t="shared" si="6"/>
        <v>794100</v>
      </c>
      <c r="L59" s="43">
        <f t="shared" si="0"/>
        <v>0.33087499999999997</v>
      </c>
      <c r="M59" s="55">
        <f t="shared" si="3"/>
        <v>794100</v>
      </c>
      <c r="N59" s="56">
        <f t="shared" si="11"/>
        <v>1605900</v>
      </c>
      <c r="O59" s="46">
        <f t="shared" si="10"/>
        <v>0.66912499999999997</v>
      </c>
      <c r="Q59" s="61"/>
    </row>
    <row r="60" spans="1:17" x14ac:dyDescent="0.25">
      <c r="A60" s="47" t="s">
        <v>110</v>
      </c>
      <c r="B60" s="72" t="s">
        <v>111</v>
      </c>
      <c r="C60" s="57">
        <v>2400000</v>
      </c>
      <c r="D60" s="50"/>
      <c r="E60" s="51"/>
      <c r="F60" s="52"/>
      <c r="G60" s="53"/>
      <c r="H60" s="54">
        <f t="shared" si="2"/>
        <v>2400000</v>
      </c>
      <c r="I60" s="50">
        <f>146700+150300+159000+169600</f>
        <v>625600</v>
      </c>
      <c r="J60" s="58">
        <v>168500</v>
      </c>
      <c r="K60" s="54">
        <f t="shared" si="6"/>
        <v>794100</v>
      </c>
      <c r="L60" s="43">
        <f t="shared" si="0"/>
        <v>0.33087499999999997</v>
      </c>
      <c r="M60" s="55">
        <f t="shared" si="3"/>
        <v>794100</v>
      </c>
      <c r="N60" s="56">
        <f t="shared" si="11"/>
        <v>1605900</v>
      </c>
      <c r="O60" s="46">
        <f t="shared" si="10"/>
        <v>0.66912499999999997</v>
      </c>
      <c r="Q60" s="61"/>
    </row>
    <row r="61" spans="1:17" x14ac:dyDescent="0.25">
      <c r="A61" s="47" t="s">
        <v>112</v>
      </c>
      <c r="B61" s="72" t="s">
        <v>113</v>
      </c>
      <c r="C61" s="57">
        <v>4800000</v>
      </c>
      <c r="D61" s="50"/>
      <c r="E61" s="51"/>
      <c r="F61" s="52"/>
      <c r="G61" s="53"/>
      <c r="H61" s="54">
        <f t="shared" si="2"/>
        <v>4800000</v>
      </c>
      <c r="I61" s="50">
        <f>293300+300500+317700+338800</f>
        <v>1250300</v>
      </c>
      <c r="J61" s="58">
        <v>336500</v>
      </c>
      <c r="K61" s="54">
        <f t="shared" si="6"/>
        <v>1586800</v>
      </c>
      <c r="L61" s="43">
        <f t="shared" si="0"/>
        <v>0.33058333333333334</v>
      </c>
      <c r="M61" s="55">
        <f t="shared" si="3"/>
        <v>1586800</v>
      </c>
      <c r="N61" s="56">
        <f t="shared" si="11"/>
        <v>3213200</v>
      </c>
      <c r="O61" s="46">
        <f t="shared" si="10"/>
        <v>0.66941666666666666</v>
      </c>
      <c r="Q61" s="61"/>
    </row>
    <row r="62" spans="1:17" x14ac:dyDescent="0.25">
      <c r="A62" s="47" t="s">
        <v>114</v>
      </c>
      <c r="B62" s="72" t="s">
        <v>115</v>
      </c>
      <c r="C62" s="57"/>
      <c r="D62" s="50"/>
      <c r="E62" s="51"/>
      <c r="F62" s="52"/>
      <c r="G62" s="53"/>
      <c r="H62" s="54">
        <f t="shared" si="2"/>
        <v>0</v>
      </c>
      <c r="I62" s="50"/>
      <c r="J62" s="50"/>
      <c r="K62" s="54">
        <f t="shared" si="6"/>
        <v>0</v>
      </c>
      <c r="L62" s="43" t="e">
        <f t="shared" si="0"/>
        <v>#DIV/0!</v>
      </c>
      <c r="M62" s="44">
        <f t="shared" si="3"/>
        <v>0</v>
      </c>
      <c r="N62" s="56">
        <f t="shared" si="11"/>
        <v>0</v>
      </c>
      <c r="O62" s="46" t="e">
        <f t="shared" si="10"/>
        <v>#DIV/0!</v>
      </c>
      <c r="Q62" s="61"/>
    </row>
    <row r="63" spans="1:17" ht="15.75" thickBot="1" x14ac:dyDescent="0.3">
      <c r="A63" s="87"/>
      <c r="B63" s="74" t="s">
        <v>116</v>
      </c>
      <c r="C63" s="75">
        <f>C52+C47+C30+C19+C24+C8</f>
        <v>869984274</v>
      </c>
      <c r="D63" s="41">
        <f>D9+D52</f>
        <v>0</v>
      </c>
      <c r="E63" s="41">
        <f>E8+E19+E24+E30+E47</f>
        <v>139277503</v>
      </c>
      <c r="F63" s="41">
        <f>F52+F47+F30+F24+F19+F8</f>
        <v>33400000</v>
      </c>
      <c r="G63" s="41">
        <f>G52+G47+G30+G24+G19+G8</f>
        <v>33400000</v>
      </c>
      <c r="H63" s="41">
        <f>H8+H19+H24+H30+H47+H52</f>
        <v>1009261777</v>
      </c>
      <c r="I63" s="41">
        <f>I52+I47+I30+I24+I19+I8</f>
        <v>314823815</v>
      </c>
      <c r="J63" s="41">
        <f>J52+J47+J30+J24+J19+J8</f>
        <v>73883229</v>
      </c>
      <c r="K63" s="41">
        <f>K52+K47+K30+K24+K19+K8</f>
        <v>440507925</v>
      </c>
      <c r="L63" s="43">
        <f t="shared" si="0"/>
        <v>0.43646547906470456</v>
      </c>
      <c r="M63" s="44">
        <f>M52+M47+M30+M24+M19+M8</f>
        <v>440507925</v>
      </c>
      <c r="N63" s="41">
        <f>N52+N47+N30+N24+N19+N8</f>
        <v>568753852</v>
      </c>
      <c r="O63" s="46">
        <f t="shared" si="10"/>
        <v>0.56353452093529544</v>
      </c>
    </row>
    <row r="64" spans="1:17" ht="15.75" thickBot="1" x14ac:dyDescent="0.3">
      <c r="A64" s="88"/>
      <c r="B64" s="89" t="s">
        <v>117</v>
      </c>
      <c r="C64" s="90" t="s">
        <v>118</v>
      </c>
      <c r="D64" s="90"/>
      <c r="E64" s="91"/>
      <c r="F64" s="91"/>
      <c r="G64" s="92"/>
      <c r="H64" s="93"/>
      <c r="I64" s="94"/>
      <c r="J64" s="93"/>
      <c r="K64" s="93"/>
      <c r="L64" s="95"/>
      <c r="M64" s="96"/>
      <c r="N64" s="97"/>
      <c r="O64" s="98"/>
      <c r="Q64" s="99"/>
    </row>
    <row r="65" spans="4:14" x14ac:dyDescent="0.25">
      <c r="K65" s="99"/>
    </row>
    <row r="66" spans="4:14" x14ac:dyDescent="0.25">
      <c r="G66" s="99">
        <f>G63-F63</f>
        <v>0</v>
      </c>
    </row>
    <row r="67" spans="4:14" x14ac:dyDescent="0.25">
      <c r="D67" s="99"/>
      <c r="F67" s="99"/>
      <c r="G67" s="99"/>
      <c r="K67" s="99"/>
      <c r="N67" s="99"/>
    </row>
    <row r="68" spans="4:14" x14ac:dyDescent="0.25">
      <c r="G68" s="99"/>
      <c r="I68" s="99"/>
      <c r="J68" s="101"/>
      <c r="N68" s="99"/>
    </row>
    <row r="69" spans="4:14" x14ac:dyDescent="0.25">
      <c r="D69" s="99"/>
      <c r="J69" s="99"/>
      <c r="L69" s="99"/>
      <c r="N69" s="99"/>
    </row>
    <row r="70" spans="4:14" x14ac:dyDescent="0.25">
      <c r="H70" s="99"/>
      <c r="J70" s="99"/>
      <c r="N70" s="99"/>
    </row>
    <row r="71" spans="4:14" x14ac:dyDescent="0.25">
      <c r="J71" s="99"/>
    </row>
  </sheetData>
  <pageMargins left="1.4566929133858268" right="0.74803149606299213" top="0.39370078740157483" bottom="0.98425196850393704" header="0" footer="0"/>
  <pageSetup paperSize="5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DE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admin</cp:lastModifiedBy>
  <dcterms:created xsi:type="dcterms:W3CDTF">2016-06-15T13:13:37Z</dcterms:created>
  <dcterms:modified xsi:type="dcterms:W3CDTF">2016-06-15T13:16:53Z</dcterms:modified>
</cp:coreProperties>
</file>